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pivotCache/pivotCacheDefinition2.xml" ContentType="application/vnd.openxmlformats-officedocument.spreadsheetml.pivotCacheDefinition+xml"/>
  <Override PartName="/xl/pivotCache/pivotCacheRecords2.xml" ContentType="application/vnd.openxmlformats-officedocument.spreadsheetml.pivotCacheRecords+xml"/>
  <Override PartName="/xl/slicerCaches/slicerCache1.xml" ContentType="application/vnd.ms-excel.slicerCache+xml"/>
  <Override PartName="/xl/slicerCaches/slicerCache2.xml" ContentType="application/vnd.ms-excel.slicerCache+xml"/>
  <Override PartName="/xl/slicerCaches/slicerCache3.xml" ContentType="application/vnd.ms-excel.slicerCache+xml"/>
  <Override PartName="/xl/slicerCaches/slicerCache4.xml" ContentType="application/vnd.ms-excel.slicerCache+xml"/>
  <Override PartName="/xl/slicerCaches/slicerCache5.xml" ContentType="application/vnd.ms-excel.slicerCache+xml"/>
  <Override PartName="/xl/slicerCaches/slicerCache6.xml" ContentType="application/vnd.ms-excel.slicerCache+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pivotTables/pivotTable1.xml" ContentType="application/vnd.openxmlformats-officedocument.spreadsheetml.pivotTable+xml"/>
  <Override PartName="/xl/tables/table1.xml" ContentType="application/vnd.openxmlformats-officedocument.spreadsheetml.table+xml"/>
  <Override PartName="/xl/pivotTables/pivotTable2.xml" ContentType="application/vnd.openxmlformats-officedocument.spreadsheetml.pivotTable+xml"/>
  <Override PartName="/xl/pivotTables/pivotTable3.xml" ContentType="application/vnd.openxmlformats-officedocument.spreadsheetml.pivotTable+xml"/>
  <Override PartName="/xl/pivotTables/pivotTable4.xml" ContentType="application/vnd.openxmlformats-officedocument.spreadsheetml.pivotTable+xml"/>
  <Override PartName="/xl/pivotTables/pivotTable5.xml" ContentType="application/vnd.openxmlformats-officedocument.spreadsheetml.pivotTable+xml"/>
  <Override PartName="/xl/pivotTables/pivotTable6.xml" ContentType="application/vnd.openxmlformats-officedocument.spreadsheetml.pivotTable+xml"/>
  <Override PartName="/xl/tables/table2.xml" ContentType="application/vnd.openxmlformats-officedocument.spreadsheetml.table+xml"/>
  <Override PartName="/xl/queryTables/queryTable1.xml" ContentType="application/vnd.openxmlformats-officedocument.spreadsheetml.queryTable+xml"/>
  <Override PartName="/xl/pivotTables/pivotTable7.xml" ContentType="application/vnd.openxmlformats-officedocument.spreadsheetml.pivotTable+xml"/>
  <Override PartName="/xl/pivotTables/pivotTable8.xml" ContentType="application/vnd.openxmlformats-officedocument.spreadsheetml.pivotTable+xml"/>
  <Override PartName="/xl/pivotTables/pivotTable9.xml" ContentType="application/vnd.openxmlformats-officedocument.spreadsheetml.pivotTable+xml"/>
  <Override PartName="/xl/pivotTables/pivotTable10.xml" ContentType="application/vnd.openxmlformats-officedocument.spreadsheetml.pivotTable+xml"/>
  <Override PartName="/xl/pivotTables/pivotTable11.xml" ContentType="application/vnd.openxmlformats-officedocument.spreadsheetml.pivotTable+xml"/>
  <Override PartName="/xl/drawings/drawing1.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pivotTables/pivotTable12.xml" ContentType="application/vnd.openxmlformats-officedocument.spreadsheetml.pivotTable+xml"/>
  <Override PartName="/xl/drawings/drawing2.xml" ContentType="application/vnd.openxmlformats-officedocument.drawing+xml"/>
  <Override PartName="/xl/slicers/slicer1.xml" ContentType="application/vnd.ms-excel.slicer+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charts/chart4.xml" ContentType="application/vnd.openxmlformats-officedocument.drawingml.chart+xml"/>
  <Override PartName="/xl/charts/style4.xml" ContentType="application/vnd.ms-office.chartstyle+xml"/>
  <Override PartName="/xl/charts/colors4.xml" ContentType="application/vnd.ms-office.chartcolorstyle+xml"/>
  <Override PartName="/xl/charts/chart5.xml" ContentType="application/vnd.openxmlformats-officedocument.drawingml.chart+xml"/>
  <Override PartName="/xl/charts/style5.xml" ContentType="application/vnd.ms-office.chartstyle+xml"/>
  <Override PartName="/xl/charts/colors5.xml" ContentType="application/vnd.ms-office.chartcolorstyle+xml"/>
  <Override PartName="/xl/charts/chart6.xml" ContentType="application/vnd.openxmlformats-officedocument.drawingml.chart+xml"/>
  <Override PartName="/xl/charts/style6.xml" ContentType="application/vnd.ms-office.chartstyle+xml"/>
  <Override PartName="/xl/charts/colors6.xml" ContentType="application/vnd.ms-office.chartcolorstyle+xml"/>
  <Override PartName="/xl/charts/chart7.xml" ContentType="application/vnd.openxmlformats-officedocument.drawingml.chart+xml"/>
  <Override PartName="/xl/charts/style7.xml" ContentType="application/vnd.ms-office.chartstyle+xml"/>
  <Override PartName="/xl/charts/colors7.xml" ContentType="application/vnd.ms-office.chartcolorstyle+xml"/>
  <Override PartName="/xl/charts/chart8.xml" ContentType="application/vnd.openxmlformats-officedocument.drawingml.chart+xml"/>
  <Override PartName="/xl/charts/style8.xml" ContentType="application/vnd.ms-office.chartstyle+xml"/>
  <Override PartName="/xl/charts/colors8.xml" ContentType="application/vnd.ms-office.chartcolorstyle+xml"/>
  <Override PartName="/xl/charts/chart9.xml" ContentType="application/vnd.openxmlformats-officedocument.drawingml.chart+xml"/>
  <Override PartName="/xl/drawings/drawing3.xml" ContentType="application/vnd.openxmlformats-officedocument.drawing+xml"/>
  <Override PartName="/xl/slicers/slicer2.xml" ContentType="application/vnd.ms-excel.slicer+xml"/>
  <Override PartName="/xl/charts/chart10.xml" ContentType="application/vnd.openxmlformats-officedocument.drawingml.chart+xml"/>
  <Override PartName="/xl/charts/style9.xml" ContentType="application/vnd.ms-office.chartstyle+xml"/>
  <Override PartName="/xl/charts/colors9.xml" ContentType="application/vnd.ms-office.chartcolorstyle+xml"/>
  <Override PartName="/xl/theme/themeOverride1.xml" ContentType="application/vnd.openxmlformats-officedocument.themeOverride+xml"/>
  <Override PartName="/xl/charts/chart11.xml" ContentType="application/vnd.openxmlformats-officedocument.drawingml.chart+xml"/>
  <Override PartName="/xl/charts/style10.xml" ContentType="application/vnd.ms-office.chartstyle+xml"/>
  <Override PartName="/xl/charts/colors10.xml" ContentType="application/vnd.ms-office.chartcolorstyle+xml"/>
  <Override PartName="/xl/theme/themeOverride2.xml" ContentType="application/vnd.openxmlformats-officedocument.themeOverride+xml"/>
  <Override PartName="/xl/charts/chart12.xml" ContentType="application/vnd.openxmlformats-officedocument.drawingml.chart+xml"/>
  <Override PartName="/xl/charts/style11.xml" ContentType="application/vnd.ms-office.chartstyle+xml"/>
  <Override PartName="/xl/charts/colors11.xml" ContentType="application/vnd.ms-office.chartcolorstyle+xml"/>
  <Override PartName="/xl/theme/themeOverride3.xml" ContentType="application/vnd.openxmlformats-officedocument.themeOverride+xml"/>
  <Override PartName="/xl/charts/chart13.xml" ContentType="application/vnd.openxmlformats-officedocument.drawingml.chart+xml"/>
  <Override PartName="/xl/charts/style12.xml" ContentType="application/vnd.ms-office.chartstyle+xml"/>
  <Override PartName="/xl/charts/colors12.xml" ContentType="application/vnd.ms-office.chartcolorstyle+xml"/>
  <Override PartName="/xl/theme/themeOverride4.xml" ContentType="application/vnd.openxmlformats-officedocument.themeOverride+xml"/>
  <Override PartName="/xl/charts/chart14.xml" ContentType="application/vnd.openxmlformats-officedocument.drawingml.chart+xml"/>
  <Override PartName="/xl/charts/style13.xml" ContentType="application/vnd.ms-office.chartstyle+xml"/>
  <Override PartName="/xl/charts/colors13.xml" ContentType="application/vnd.ms-office.chartcolorstyle+xml"/>
  <Override PartName="/xl/theme/themeOverride5.xml" ContentType="application/vnd.openxmlformats-officedocument.themeOverride+xml"/>
  <Override PartName="/xl/charts/chart15.xml" ContentType="application/vnd.openxmlformats-officedocument.drawingml.chart+xml"/>
  <Override PartName="/xl/charts/style14.xml" ContentType="application/vnd.ms-office.chartstyle+xml"/>
  <Override PartName="/xl/charts/colors14.xml" ContentType="application/vnd.ms-office.chartcolorstyle+xml"/>
  <Override PartName="/xl/theme/themeOverride6.xml" ContentType="application/vnd.openxmlformats-officedocument.themeOverride+xml"/>
  <Override PartName="/xl/charts/chart16.xml" ContentType="application/vnd.openxmlformats-officedocument.drawingml.chart+xml"/>
  <Override PartName="/xl/theme/themeOverride7.xml" ContentType="application/vnd.openxmlformats-officedocument.themeOverride+xml"/>
  <Override PartName="/xl/tables/table3.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430" codeName="{2109D909-C6D8-E34B-4C66-09127ED2DC46}"/>
  <workbookPr showInkAnnotation="0" codeName="ThisWorkbook" defaultThemeVersion="124226"/>
  <mc:AlternateContent xmlns:mc="http://schemas.openxmlformats.org/markup-compatibility/2006">
    <mc:Choice Requires="x15">
      <x15ac:absPath xmlns:x15ac="http://schemas.microsoft.com/office/spreadsheetml/2010/11/ac" url="\\DISKSTATION\homes\Gaëtan\Perso\Trading\"/>
    </mc:Choice>
  </mc:AlternateContent>
  <xr:revisionPtr revIDLastSave="0" documentId="8_{6F753C75-8BA9-41B3-8867-33540FC1D763}" xr6:coauthVersionLast="45" xr6:coauthVersionMax="45" xr10:uidLastSave="{00000000-0000-0000-0000-000000000000}"/>
  <bookViews>
    <workbookView xWindow="-8445" yWindow="2610" windowWidth="21600" windowHeight="11385" tabRatio="802" firstSheet="16" activeTab="18" xr2:uid="{00000000-000D-0000-FFFF-FFFF00000000}"/>
  </bookViews>
  <sheets>
    <sheet name="Listes" sheetId="4" state="hidden" r:id="rId1"/>
    <sheet name="Général - Max Drawdown" sheetId="41" state="hidden" r:id="rId2"/>
    <sheet name="BDD" sheetId="2" r:id="rId3"/>
    <sheet name="Général - Gain Equité" sheetId="14" state="hidden" r:id="rId4"/>
    <sheet name="Général - Note" sheetId="13" state="hidden" r:id="rId5"/>
    <sheet name="Général - Ratio Gagnant perdant" sheetId="10" state="hidden" r:id="rId6"/>
    <sheet name="Général Tableau des conformités" sheetId="6" state="hidden" r:id="rId7"/>
    <sheet name="Général - points" sheetId="7" state="hidden" r:id="rId8"/>
    <sheet name="Taux EUR USD Journaliers BCE" sheetId="40" state="hidden" r:id="rId9"/>
    <sheet name="Général - Tableau Drawdown" sheetId="9" state="hidden" r:id="rId10"/>
    <sheet name="Général - évolution points" sheetId="8" state="hidden" r:id="rId11"/>
    <sheet name="Général - Gains Pertes Points" sheetId="11" state="hidden" r:id="rId12"/>
    <sheet name="Général - Profit Factor" sheetId="12" state="hidden" r:id="rId13"/>
    <sheet name="Général - calendrier dynamique" sheetId="25" state="hidden" r:id="rId14"/>
    <sheet name="Calculs jour" sheetId="31" state="hidden" r:id="rId15"/>
    <sheet name="Tableau de bord General" sheetId="5" r:id="rId16"/>
    <sheet name="Tableau de bord Jours" sheetId="32" r:id="rId17"/>
    <sheet name="Tableau Analyse" sheetId="42" r:id="rId18"/>
    <sheet name="Historique version" sheetId="27" r:id="rId19"/>
    <sheet name="Jalons" sheetId="33" r:id="rId20"/>
  </sheets>
  <definedNames>
    <definedName name="DonnéesExternes_1" localSheetId="8" hidden="1">'Taux EUR USD Journaliers BCE'!$A$1:$B$7725</definedName>
    <definedName name="Plage_variable_dates">OFFSET(BDD!$A$4,'Général - calendrier dynamique'!$I$3,0,'Général - calendrier dynamique'!$I$2,1)</definedName>
    <definedName name="Plage_variable_equite_fin_j">OFFSET(BDD!$AI$4,'Général - calendrier dynamique'!$I$3,0,'Général - calendrier dynamique'!$I$2,1)</definedName>
    <definedName name="Plage_variable_profit">OFFSET(BDD!$M$4,'Général - calendrier dynamique'!$I$3,0,'Général - calendrier dynamique'!$I$2,1)</definedName>
    <definedName name="Segment_Années">#N/A</definedName>
    <definedName name="Segment_Date">#N/A</definedName>
    <definedName name="Segment_Horodatage_ouverture">#N/A</definedName>
    <definedName name="Segment_Mois">#N/A</definedName>
    <definedName name="Segment_N°_de_semaine">#N/A</definedName>
    <definedName name="Segment_Trimestres">#N/A</definedName>
    <definedName name="Version" localSheetId="0">Listes!$L$11</definedName>
  </definedNames>
  <calcPr calcId="191029"/>
  <pivotCaches>
    <pivotCache cacheId="1" r:id="rId21"/>
    <pivotCache cacheId="10" r:id="rId22"/>
  </pivotCaches>
  <extLst>
    <ext xmlns:x14="http://schemas.microsoft.com/office/spreadsheetml/2009/9/main" uri="{BBE1A952-AA13-448e-AADC-164F8A28A991}">
      <x14:slicerCaches>
        <x14:slicerCache r:id="rId23"/>
        <x14:slicerCache r:id="rId24"/>
        <x14:slicerCache r:id="rId25"/>
        <x14:slicerCache r:id="rId26"/>
        <x14:slicerCache r:id="rId27"/>
        <x14:slicerCache r:id="rId28"/>
      </x14:slicerCaches>
    </ext>
    <ext xmlns:x14="http://schemas.microsoft.com/office/spreadsheetml/2009/9/main" uri="{79F54976-1DA5-4618-B147-4CDE4B953A38}">
      <x14:workbookPr/>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AB4" i="2" l="1"/>
  <c r="AB5" i="2"/>
  <c r="AB6" i="2"/>
  <c r="AB7" i="2"/>
  <c r="AB8" i="2"/>
  <c r="AB9" i="2"/>
  <c r="AB10" i="2"/>
  <c r="AB11" i="2"/>
  <c r="AB12" i="2"/>
  <c r="AB13" i="2"/>
  <c r="AB14" i="2"/>
  <c r="AB15" i="2"/>
  <c r="AA15" i="2" s="1"/>
  <c r="P15" i="2" s="1"/>
  <c r="AB16" i="2"/>
  <c r="AB17" i="2"/>
  <c r="AB18" i="2"/>
  <c r="AB19" i="2"/>
  <c r="AB20" i="2"/>
  <c r="AB21" i="2"/>
  <c r="AB22" i="2"/>
  <c r="AB23" i="2"/>
  <c r="AB24" i="2"/>
  <c r="AB25" i="2"/>
  <c r="AB26" i="2"/>
  <c r="AB27" i="2"/>
  <c r="AG13" i="2" s="1"/>
  <c r="AB28" i="2"/>
  <c r="AB29" i="2"/>
  <c r="AB30" i="2"/>
  <c r="AB31" i="2"/>
  <c r="AB32" i="2"/>
  <c r="AB33" i="2"/>
  <c r="AB34" i="2"/>
  <c r="AB35" i="2"/>
  <c r="AB36" i="2"/>
  <c r="AB37" i="2"/>
  <c r="AB38" i="2"/>
  <c r="AB39" i="2"/>
  <c r="AA39" i="2" s="1"/>
  <c r="P39" i="2" s="1"/>
  <c r="AB40" i="2"/>
  <c r="AB41" i="2"/>
  <c r="AB42" i="2"/>
  <c r="AB43" i="2"/>
  <c r="AB44" i="2"/>
  <c r="AB45" i="2"/>
  <c r="AB46" i="2"/>
  <c r="AB47" i="2"/>
  <c r="AB48" i="2"/>
  <c r="AB49" i="2"/>
  <c r="AB50" i="2"/>
  <c r="AB51" i="2"/>
  <c r="AA51" i="2" s="1"/>
  <c r="P51" i="2" s="1"/>
  <c r="AB52" i="2"/>
  <c r="AB53" i="2"/>
  <c r="AB54" i="2"/>
  <c r="AB55" i="2"/>
  <c r="AB56" i="2"/>
  <c r="AB57" i="2"/>
  <c r="AB58" i="2"/>
  <c r="AB59" i="2"/>
  <c r="AB60" i="2"/>
  <c r="AB61" i="2"/>
  <c r="AB62" i="2"/>
  <c r="AB63" i="2"/>
  <c r="AA63" i="2" s="1"/>
  <c r="P63" i="2" s="1"/>
  <c r="AB64" i="2"/>
  <c r="AB65" i="2"/>
  <c r="AB66" i="2"/>
  <c r="AB67" i="2"/>
  <c r="AB68" i="2"/>
  <c r="AB69" i="2"/>
  <c r="AB70" i="2"/>
  <c r="AB71" i="2"/>
  <c r="AB72" i="2"/>
  <c r="AB73" i="2"/>
  <c r="AB74" i="2"/>
  <c r="AB75" i="2"/>
  <c r="AA75" i="2" s="1"/>
  <c r="P75" i="2" s="1"/>
  <c r="AB76" i="2"/>
  <c r="AB77" i="2"/>
  <c r="AB78" i="2"/>
  <c r="AB79" i="2"/>
  <c r="AB80" i="2"/>
  <c r="AB81" i="2"/>
  <c r="AB82" i="2"/>
  <c r="AB83" i="2"/>
  <c r="AB84" i="2"/>
  <c r="AB85" i="2"/>
  <c r="AB86" i="2"/>
  <c r="AB87" i="2"/>
  <c r="AA87" i="2" s="1"/>
  <c r="P87" i="2" s="1"/>
  <c r="AB88" i="2"/>
  <c r="AB89" i="2"/>
  <c r="AB90" i="2"/>
  <c r="AB91" i="2"/>
  <c r="AB92" i="2"/>
  <c r="AB93" i="2"/>
  <c r="AB94" i="2"/>
  <c r="AB95" i="2"/>
  <c r="AB96" i="2"/>
  <c r="AB97" i="2"/>
  <c r="AB98" i="2"/>
  <c r="AB99" i="2"/>
  <c r="AA99" i="2" s="1"/>
  <c r="P99" i="2" s="1"/>
  <c r="AB100" i="2"/>
  <c r="AB101" i="2"/>
  <c r="AB102" i="2"/>
  <c r="AB103" i="2"/>
  <c r="AB104" i="2"/>
  <c r="AB105" i="2"/>
  <c r="AB106" i="2"/>
  <c r="AB107" i="2"/>
  <c r="AB108" i="2"/>
  <c r="AB109" i="2"/>
  <c r="AB110" i="2"/>
  <c r="AB111" i="2"/>
  <c r="AA111" i="2" s="1"/>
  <c r="P111" i="2" s="1"/>
  <c r="AB112" i="2"/>
  <c r="AB113" i="2"/>
  <c r="AB114" i="2"/>
  <c r="AB115" i="2"/>
  <c r="AB116" i="2"/>
  <c r="AB117" i="2"/>
  <c r="AB118" i="2"/>
  <c r="AB119" i="2"/>
  <c r="AB120" i="2"/>
  <c r="AB121" i="2"/>
  <c r="AB122" i="2"/>
  <c r="AB123" i="2"/>
  <c r="AA123" i="2" s="1"/>
  <c r="P123" i="2" s="1"/>
  <c r="AB124" i="2"/>
  <c r="AB125" i="2"/>
  <c r="AB126" i="2"/>
  <c r="AB127" i="2"/>
  <c r="AB128" i="2"/>
  <c r="AB129" i="2"/>
  <c r="AB130" i="2"/>
  <c r="AB131" i="2"/>
  <c r="AB132" i="2"/>
  <c r="AB133" i="2"/>
  <c r="AB134" i="2"/>
  <c r="AB135" i="2"/>
  <c r="AA135" i="2" s="1"/>
  <c r="P135" i="2" s="1"/>
  <c r="AB136" i="2"/>
  <c r="AB137" i="2"/>
  <c r="AB138" i="2"/>
  <c r="AB139" i="2"/>
  <c r="AB140" i="2"/>
  <c r="AB141" i="2"/>
  <c r="AB142" i="2"/>
  <c r="AB143" i="2"/>
  <c r="AB144" i="2"/>
  <c r="AB145" i="2"/>
  <c r="AB146" i="2"/>
  <c r="AB147" i="2"/>
  <c r="AA147" i="2" s="1"/>
  <c r="P147" i="2" s="1"/>
  <c r="AB148" i="2"/>
  <c r="AB149" i="2"/>
  <c r="AB150" i="2"/>
  <c r="AB151" i="2"/>
  <c r="AB152" i="2"/>
  <c r="AB153" i="2"/>
  <c r="AB154" i="2"/>
  <c r="AB155" i="2"/>
  <c r="AB156" i="2"/>
  <c r="AB157" i="2"/>
  <c r="AB158" i="2"/>
  <c r="AB159" i="2"/>
  <c r="AA159" i="2" s="1"/>
  <c r="AB160" i="2"/>
  <c r="AB161" i="2"/>
  <c r="AA4" i="2"/>
  <c r="AA5" i="2"/>
  <c r="P5" i="2" s="1"/>
  <c r="AA6" i="2"/>
  <c r="AA7" i="2"/>
  <c r="AA8" i="2"/>
  <c r="P8" i="2" s="1"/>
  <c r="AA9" i="2"/>
  <c r="AA10" i="2"/>
  <c r="AA11" i="2"/>
  <c r="AA12" i="2"/>
  <c r="AA13" i="2"/>
  <c r="P13" i="2" s="1"/>
  <c r="AA14" i="2"/>
  <c r="P14" i="2" s="1"/>
  <c r="AA16" i="2"/>
  <c r="AA17" i="2"/>
  <c r="P17" i="2" s="1"/>
  <c r="AA18" i="2"/>
  <c r="AA19" i="2"/>
  <c r="AA20" i="2"/>
  <c r="P20" i="2" s="1"/>
  <c r="AA21" i="2"/>
  <c r="AA22" i="2"/>
  <c r="AA23" i="2"/>
  <c r="AA24" i="2"/>
  <c r="AA25" i="2"/>
  <c r="P25" i="2" s="1"/>
  <c r="AA26" i="2"/>
  <c r="P26" i="2" s="1"/>
  <c r="AA28" i="2"/>
  <c r="AA29" i="2"/>
  <c r="P29" i="2" s="1"/>
  <c r="AA30" i="2"/>
  <c r="AA31" i="2"/>
  <c r="AA32" i="2"/>
  <c r="P32" i="2" s="1"/>
  <c r="AA33" i="2"/>
  <c r="AA34" i="2"/>
  <c r="AA35" i="2"/>
  <c r="AA36" i="2"/>
  <c r="AA37" i="2"/>
  <c r="P37" i="2" s="1"/>
  <c r="AA38" i="2"/>
  <c r="P38" i="2" s="1"/>
  <c r="AA40" i="2"/>
  <c r="AA41" i="2"/>
  <c r="P41" i="2" s="1"/>
  <c r="AA42" i="2"/>
  <c r="AA43" i="2"/>
  <c r="AA44" i="2"/>
  <c r="P44" i="2" s="1"/>
  <c r="AA45" i="2"/>
  <c r="AA46" i="2"/>
  <c r="AA47" i="2"/>
  <c r="AA48" i="2"/>
  <c r="AA49" i="2"/>
  <c r="P49" i="2" s="1"/>
  <c r="AA50" i="2"/>
  <c r="P50" i="2" s="1"/>
  <c r="AA52" i="2"/>
  <c r="AA53" i="2"/>
  <c r="P53" i="2" s="1"/>
  <c r="AA54" i="2"/>
  <c r="AA55" i="2"/>
  <c r="AA56" i="2"/>
  <c r="P56" i="2" s="1"/>
  <c r="AA57" i="2"/>
  <c r="AA58" i="2"/>
  <c r="AA59" i="2"/>
  <c r="AA60" i="2"/>
  <c r="AA61" i="2"/>
  <c r="P61" i="2" s="1"/>
  <c r="AA62" i="2"/>
  <c r="P62" i="2" s="1"/>
  <c r="AA64" i="2"/>
  <c r="AA65" i="2"/>
  <c r="P65" i="2" s="1"/>
  <c r="AA66" i="2"/>
  <c r="AA67" i="2"/>
  <c r="AA68" i="2"/>
  <c r="P68" i="2" s="1"/>
  <c r="AA69" i="2"/>
  <c r="AA70" i="2"/>
  <c r="AA71" i="2"/>
  <c r="AA72" i="2"/>
  <c r="AA73" i="2"/>
  <c r="P73" i="2" s="1"/>
  <c r="AA74" i="2"/>
  <c r="P74" i="2" s="1"/>
  <c r="AA76" i="2"/>
  <c r="AA77" i="2"/>
  <c r="P77" i="2" s="1"/>
  <c r="AA78" i="2"/>
  <c r="P78" i="2" s="1"/>
  <c r="AA79" i="2"/>
  <c r="AA80" i="2"/>
  <c r="P80" i="2" s="1"/>
  <c r="AA81" i="2"/>
  <c r="AA82" i="2"/>
  <c r="AA83" i="2"/>
  <c r="AA84" i="2"/>
  <c r="AA85" i="2"/>
  <c r="P85" i="2" s="1"/>
  <c r="AA86" i="2"/>
  <c r="P86" i="2" s="1"/>
  <c r="AA88" i="2"/>
  <c r="AA89" i="2"/>
  <c r="P89" i="2" s="1"/>
  <c r="AA90" i="2"/>
  <c r="AA91" i="2"/>
  <c r="AA92" i="2"/>
  <c r="P92" i="2" s="1"/>
  <c r="AA93" i="2"/>
  <c r="AA94" i="2"/>
  <c r="AA95" i="2"/>
  <c r="AA96" i="2"/>
  <c r="AA97" i="2"/>
  <c r="P97" i="2" s="1"/>
  <c r="AA98" i="2"/>
  <c r="P98" i="2" s="1"/>
  <c r="AA100" i="2"/>
  <c r="AA101" i="2"/>
  <c r="P101" i="2" s="1"/>
  <c r="AA102" i="2"/>
  <c r="AA103" i="2"/>
  <c r="AA104" i="2"/>
  <c r="P104" i="2" s="1"/>
  <c r="AA105" i="2"/>
  <c r="AA106" i="2"/>
  <c r="AA107" i="2"/>
  <c r="AA108" i="2"/>
  <c r="AA109" i="2"/>
  <c r="P109" i="2" s="1"/>
  <c r="AA110" i="2"/>
  <c r="P110" i="2" s="1"/>
  <c r="AA112" i="2"/>
  <c r="AA113" i="2"/>
  <c r="P113" i="2" s="1"/>
  <c r="AA114" i="2"/>
  <c r="P114" i="2" s="1"/>
  <c r="AA115" i="2"/>
  <c r="AA116" i="2"/>
  <c r="P116" i="2" s="1"/>
  <c r="AA117" i="2"/>
  <c r="AA118" i="2"/>
  <c r="AA119" i="2"/>
  <c r="AA120" i="2"/>
  <c r="AA121" i="2"/>
  <c r="P121" i="2" s="1"/>
  <c r="AA122" i="2"/>
  <c r="P122" i="2" s="1"/>
  <c r="AA124" i="2"/>
  <c r="AA125" i="2"/>
  <c r="P125" i="2" s="1"/>
  <c r="AA126" i="2"/>
  <c r="AA127" i="2"/>
  <c r="AA128" i="2"/>
  <c r="P128" i="2" s="1"/>
  <c r="AA129" i="2"/>
  <c r="AA130" i="2"/>
  <c r="AA131" i="2"/>
  <c r="P131" i="2" s="1"/>
  <c r="AA132" i="2"/>
  <c r="AA133" i="2"/>
  <c r="P133" i="2" s="1"/>
  <c r="AA134" i="2"/>
  <c r="P134" i="2" s="1"/>
  <c r="AA136" i="2"/>
  <c r="AA137" i="2"/>
  <c r="P137" i="2" s="1"/>
  <c r="AA138" i="2"/>
  <c r="AA139" i="2"/>
  <c r="AA140" i="2"/>
  <c r="P140" i="2" s="1"/>
  <c r="AA141" i="2"/>
  <c r="AA142" i="2"/>
  <c r="AA143" i="2"/>
  <c r="AA144" i="2"/>
  <c r="AA145" i="2"/>
  <c r="P145" i="2" s="1"/>
  <c r="AA146" i="2"/>
  <c r="P146" i="2" s="1"/>
  <c r="AA148" i="2"/>
  <c r="AA149" i="2"/>
  <c r="P149" i="2" s="1"/>
  <c r="AA150" i="2"/>
  <c r="P150" i="2" s="1"/>
  <c r="AA151" i="2"/>
  <c r="AA152" i="2"/>
  <c r="P152" i="2" s="1"/>
  <c r="AA153" i="2"/>
  <c r="AA154" i="2"/>
  <c r="AA155" i="2"/>
  <c r="AA156" i="2"/>
  <c r="AA157" i="2"/>
  <c r="P157" i="2" s="1"/>
  <c r="AA160" i="2"/>
  <c r="AA161" i="2"/>
  <c r="P161" i="2" s="1"/>
  <c r="P4" i="2"/>
  <c r="P6" i="2"/>
  <c r="P7" i="2"/>
  <c r="P9" i="2"/>
  <c r="P10" i="2"/>
  <c r="P11" i="2"/>
  <c r="P12" i="2"/>
  <c r="P16" i="2"/>
  <c r="P18" i="2"/>
  <c r="P19" i="2"/>
  <c r="P21" i="2"/>
  <c r="P22" i="2"/>
  <c r="P23" i="2"/>
  <c r="P24" i="2"/>
  <c r="P28" i="2"/>
  <c r="P30" i="2"/>
  <c r="P31" i="2"/>
  <c r="P33" i="2"/>
  <c r="P34" i="2"/>
  <c r="P35" i="2"/>
  <c r="P36" i="2"/>
  <c r="P40" i="2"/>
  <c r="P42" i="2"/>
  <c r="P43" i="2"/>
  <c r="P45" i="2"/>
  <c r="P46" i="2"/>
  <c r="P47" i="2"/>
  <c r="P48" i="2"/>
  <c r="P52" i="2"/>
  <c r="P54" i="2"/>
  <c r="P55" i="2"/>
  <c r="P57" i="2"/>
  <c r="P58" i="2"/>
  <c r="P59" i="2"/>
  <c r="P60" i="2"/>
  <c r="P64" i="2"/>
  <c r="P66" i="2"/>
  <c r="P67" i="2"/>
  <c r="P69" i="2"/>
  <c r="P70" i="2"/>
  <c r="P71" i="2"/>
  <c r="P72" i="2"/>
  <c r="P76" i="2"/>
  <c r="P79" i="2"/>
  <c r="P81" i="2"/>
  <c r="P82" i="2"/>
  <c r="P83" i="2"/>
  <c r="P84" i="2"/>
  <c r="P88" i="2"/>
  <c r="P90" i="2"/>
  <c r="P91" i="2"/>
  <c r="P93" i="2"/>
  <c r="P94" i="2"/>
  <c r="P95" i="2"/>
  <c r="P96" i="2"/>
  <c r="P100" i="2"/>
  <c r="P102" i="2"/>
  <c r="P103" i="2"/>
  <c r="P105" i="2"/>
  <c r="P106" i="2"/>
  <c r="P107" i="2"/>
  <c r="P108" i="2"/>
  <c r="P112" i="2"/>
  <c r="P115" i="2"/>
  <c r="P117" i="2"/>
  <c r="P118" i="2"/>
  <c r="P119" i="2"/>
  <c r="P120" i="2"/>
  <c r="P124" i="2"/>
  <c r="P126" i="2"/>
  <c r="P127" i="2"/>
  <c r="P129" i="2"/>
  <c r="P130" i="2"/>
  <c r="P132" i="2"/>
  <c r="P136" i="2"/>
  <c r="P138" i="2"/>
  <c r="P139" i="2"/>
  <c r="P141" i="2"/>
  <c r="P142" i="2"/>
  <c r="P143" i="2"/>
  <c r="P144" i="2"/>
  <c r="P148" i="2"/>
  <c r="P151" i="2"/>
  <c r="P153" i="2"/>
  <c r="P154" i="2"/>
  <c r="P155" i="2"/>
  <c r="P156" i="2"/>
  <c r="P160" i="2"/>
  <c r="O4" i="2"/>
  <c r="O5" i="2"/>
  <c r="O6" i="2"/>
  <c r="O7" i="2"/>
  <c r="O8" i="2"/>
  <c r="O9" i="2"/>
  <c r="O10" i="2"/>
  <c r="O11" i="2"/>
  <c r="O12" i="2"/>
  <c r="O13" i="2"/>
  <c r="O14" i="2"/>
  <c r="O15" i="2"/>
  <c r="O16" i="2"/>
  <c r="O17" i="2"/>
  <c r="O18" i="2"/>
  <c r="O19" i="2"/>
  <c r="O20" i="2"/>
  <c r="O21" i="2"/>
  <c r="O22" i="2"/>
  <c r="O23" i="2"/>
  <c r="O24" i="2"/>
  <c r="O25" i="2"/>
  <c r="O26" i="2"/>
  <c r="O27" i="2"/>
  <c r="O28" i="2"/>
  <c r="O29" i="2"/>
  <c r="O30" i="2"/>
  <c r="O31" i="2"/>
  <c r="O32" i="2"/>
  <c r="O33" i="2"/>
  <c r="O34" i="2"/>
  <c r="O35" i="2"/>
  <c r="O36" i="2"/>
  <c r="O37" i="2"/>
  <c r="O38" i="2"/>
  <c r="O39" i="2"/>
  <c r="O40" i="2"/>
  <c r="O41" i="2"/>
  <c r="O42" i="2"/>
  <c r="O43" i="2"/>
  <c r="O44" i="2"/>
  <c r="O45" i="2"/>
  <c r="O46" i="2"/>
  <c r="O47" i="2"/>
  <c r="O48" i="2"/>
  <c r="O49" i="2"/>
  <c r="O50" i="2"/>
  <c r="O51" i="2"/>
  <c r="O52" i="2"/>
  <c r="O53" i="2"/>
  <c r="O54" i="2"/>
  <c r="O55" i="2"/>
  <c r="O56" i="2"/>
  <c r="O57" i="2"/>
  <c r="O58" i="2"/>
  <c r="O59" i="2"/>
  <c r="O60" i="2"/>
  <c r="O61" i="2"/>
  <c r="O62" i="2"/>
  <c r="O63" i="2"/>
  <c r="O64" i="2"/>
  <c r="O65" i="2"/>
  <c r="O66" i="2"/>
  <c r="O67" i="2"/>
  <c r="O68" i="2"/>
  <c r="O69" i="2"/>
  <c r="O70" i="2"/>
  <c r="O71" i="2"/>
  <c r="O72" i="2"/>
  <c r="O73" i="2"/>
  <c r="O74" i="2"/>
  <c r="O75" i="2"/>
  <c r="O76" i="2"/>
  <c r="O77" i="2"/>
  <c r="O78" i="2"/>
  <c r="O79" i="2"/>
  <c r="O80" i="2"/>
  <c r="O81" i="2"/>
  <c r="O82" i="2"/>
  <c r="O83" i="2"/>
  <c r="O84" i="2"/>
  <c r="O85" i="2"/>
  <c r="O86" i="2"/>
  <c r="O87" i="2"/>
  <c r="O88" i="2"/>
  <c r="O89" i="2"/>
  <c r="O90" i="2"/>
  <c r="O91" i="2"/>
  <c r="O92" i="2"/>
  <c r="O93" i="2"/>
  <c r="O94" i="2"/>
  <c r="O95" i="2"/>
  <c r="O96" i="2"/>
  <c r="O97" i="2"/>
  <c r="O98" i="2"/>
  <c r="O99" i="2"/>
  <c r="O100" i="2"/>
  <c r="O101" i="2"/>
  <c r="O102" i="2"/>
  <c r="O103" i="2"/>
  <c r="O104" i="2"/>
  <c r="O105" i="2"/>
  <c r="O106" i="2"/>
  <c r="O107" i="2"/>
  <c r="O108" i="2"/>
  <c r="O109" i="2"/>
  <c r="O110" i="2"/>
  <c r="O111" i="2"/>
  <c r="O112" i="2"/>
  <c r="O113" i="2"/>
  <c r="O114" i="2"/>
  <c r="O115" i="2"/>
  <c r="O116" i="2"/>
  <c r="O117" i="2"/>
  <c r="O118" i="2"/>
  <c r="O119" i="2"/>
  <c r="O120" i="2"/>
  <c r="O121" i="2"/>
  <c r="O122" i="2"/>
  <c r="O123" i="2"/>
  <c r="O124" i="2"/>
  <c r="O125" i="2"/>
  <c r="O126" i="2"/>
  <c r="O127" i="2"/>
  <c r="O128" i="2"/>
  <c r="O129" i="2"/>
  <c r="O130" i="2"/>
  <c r="O131" i="2"/>
  <c r="O132" i="2"/>
  <c r="O133" i="2"/>
  <c r="O134" i="2"/>
  <c r="O135" i="2"/>
  <c r="O136" i="2"/>
  <c r="O137" i="2"/>
  <c r="O138" i="2"/>
  <c r="O139" i="2"/>
  <c r="O140" i="2"/>
  <c r="O141" i="2"/>
  <c r="O142" i="2"/>
  <c r="O143" i="2"/>
  <c r="O144" i="2"/>
  <c r="O145" i="2"/>
  <c r="O146" i="2"/>
  <c r="O147" i="2"/>
  <c r="O148" i="2"/>
  <c r="O149" i="2"/>
  <c r="O150" i="2"/>
  <c r="O151" i="2"/>
  <c r="O152" i="2"/>
  <c r="O153" i="2"/>
  <c r="O154" i="2"/>
  <c r="O155" i="2"/>
  <c r="O156" i="2"/>
  <c r="O157" i="2"/>
  <c r="O158" i="2"/>
  <c r="O159" i="2"/>
  <c r="O160" i="2"/>
  <c r="O161" i="2"/>
  <c r="AG4" i="2"/>
  <c r="AG5" i="2"/>
  <c r="AG6" i="2"/>
  <c r="AG7" i="2"/>
  <c r="AG8" i="2"/>
  <c r="AG12" i="2"/>
  <c r="AG24" i="2"/>
  <c r="AG28" i="2"/>
  <c r="AG29" i="2"/>
  <c r="AG30" i="2"/>
  <c r="AG31" i="2"/>
  <c r="AG32" i="2"/>
  <c r="AG33" i="2"/>
  <c r="AG34" i="2"/>
  <c r="AG35" i="2"/>
  <c r="AG36" i="2"/>
  <c r="AG37" i="2"/>
  <c r="AG38" i="2"/>
  <c r="AG39" i="2"/>
  <c r="AG40" i="2"/>
  <c r="AG41" i="2"/>
  <c r="AG42" i="2"/>
  <c r="AG43" i="2"/>
  <c r="AG44" i="2"/>
  <c r="AG45" i="2"/>
  <c r="AG46" i="2"/>
  <c r="AG47" i="2"/>
  <c r="AG48" i="2"/>
  <c r="AG49" i="2"/>
  <c r="AG50" i="2"/>
  <c r="AG51" i="2"/>
  <c r="AG52" i="2"/>
  <c r="AG53" i="2"/>
  <c r="AG54" i="2"/>
  <c r="AG55" i="2"/>
  <c r="AG56" i="2"/>
  <c r="AG57" i="2"/>
  <c r="AG58" i="2"/>
  <c r="AG59" i="2"/>
  <c r="AG60" i="2"/>
  <c r="AG61" i="2"/>
  <c r="AG62" i="2"/>
  <c r="AG63" i="2"/>
  <c r="AG64" i="2"/>
  <c r="AG65" i="2"/>
  <c r="AG66" i="2"/>
  <c r="AG67" i="2"/>
  <c r="AG68" i="2"/>
  <c r="AG69" i="2"/>
  <c r="AG70" i="2"/>
  <c r="AG71" i="2"/>
  <c r="AG72" i="2"/>
  <c r="AG73" i="2"/>
  <c r="AG74" i="2"/>
  <c r="AG75" i="2"/>
  <c r="AG76" i="2"/>
  <c r="AG77" i="2"/>
  <c r="AG78" i="2"/>
  <c r="AG79" i="2"/>
  <c r="AG80" i="2"/>
  <c r="AG81" i="2"/>
  <c r="AG82" i="2"/>
  <c r="AG83" i="2"/>
  <c r="AG84" i="2"/>
  <c r="AG85" i="2"/>
  <c r="AG86" i="2"/>
  <c r="AG87" i="2"/>
  <c r="AG88" i="2"/>
  <c r="AG89" i="2"/>
  <c r="AG90" i="2"/>
  <c r="AG91" i="2"/>
  <c r="AG92" i="2"/>
  <c r="AG93" i="2"/>
  <c r="AG94" i="2"/>
  <c r="AG95" i="2"/>
  <c r="AG96" i="2"/>
  <c r="AG97" i="2"/>
  <c r="AG98" i="2"/>
  <c r="AG99" i="2"/>
  <c r="AG100" i="2"/>
  <c r="AG101" i="2"/>
  <c r="AG102" i="2"/>
  <c r="AG103" i="2"/>
  <c r="AG104" i="2"/>
  <c r="AG105" i="2"/>
  <c r="AG106" i="2"/>
  <c r="AG107" i="2"/>
  <c r="AG108" i="2"/>
  <c r="AG109" i="2"/>
  <c r="AG110" i="2"/>
  <c r="AG111" i="2"/>
  <c r="AG112" i="2"/>
  <c r="AG113" i="2"/>
  <c r="AG114" i="2"/>
  <c r="AG115" i="2"/>
  <c r="AG116" i="2"/>
  <c r="AG117" i="2"/>
  <c r="AG118" i="2"/>
  <c r="AG119" i="2"/>
  <c r="AG120" i="2"/>
  <c r="AG121" i="2"/>
  <c r="AG122" i="2"/>
  <c r="AG123" i="2"/>
  <c r="AG124" i="2"/>
  <c r="AG125" i="2"/>
  <c r="AG126" i="2"/>
  <c r="AG127" i="2"/>
  <c r="AG128" i="2"/>
  <c r="AG129" i="2"/>
  <c r="AG130" i="2"/>
  <c r="AG131" i="2"/>
  <c r="AG132" i="2"/>
  <c r="AG133" i="2"/>
  <c r="AG134" i="2"/>
  <c r="AG135" i="2"/>
  <c r="AG136" i="2"/>
  <c r="AG137" i="2"/>
  <c r="AG138" i="2"/>
  <c r="AG139" i="2"/>
  <c r="AG140" i="2"/>
  <c r="AG141" i="2"/>
  <c r="AG142" i="2"/>
  <c r="AG143" i="2"/>
  <c r="AG144" i="2"/>
  <c r="AG145" i="2"/>
  <c r="AG146" i="2"/>
  <c r="AG147" i="2"/>
  <c r="AG148" i="2"/>
  <c r="AG149" i="2"/>
  <c r="AG150" i="2"/>
  <c r="AG151" i="2"/>
  <c r="AG152" i="2"/>
  <c r="AG153" i="2"/>
  <c r="AG154" i="2"/>
  <c r="AG155" i="2"/>
  <c r="AG156" i="2"/>
  <c r="AG157" i="2"/>
  <c r="AG158" i="2"/>
  <c r="AG159" i="2"/>
  <c r="AG160" i="2"/>
  <c r="AG161" i="2"/>
  <c r="AH28" i="2"/>
  <c r="AH4" i="2"/>
  <c r="AH5" i="2"/>
  <c r="AH6" i="2"/>
  <c r="AH7" i="2"/>
  <c r="AH8" i="2"/>
  <c r="AH9" i="2"/>
  <c r="AH21" i="2"/>
  <c r="AH29" i="2"/>
  <c r="AH30" i="2"/>
  <c r="AH31" i="2"/>
  <c r="AH32" i="2"/>
  <c r="AH33" i="2"/>
  <c r="AH34" i="2"/>
  <c r="AH35" i="2"/>
  <c r="AH36" i="2"/>
  <c r="AH37" i="2"/>
  <c r="AH38" i="2"/>
  <c r="AH40" i="2"/>
  <c r="AH41" i="2"/>
  <c r="AH42" i="2"/>
  <c r="AH43" i="2"/>
  <c r="AH44" i="2"/>
  <c r="AH45" i="2"/>
  <c r="AH46" i="2"/>
  <c r="AH47" i="2"/>
  <c r="AH48" i="2"/>
  <c r="AH49" i="2"/>
  <c r="AH50" i="2"/>
  <c r="AH52" i="2"/>
  <c r="AH53" i="2"/>
  <c r="AH54" i="2"/>
  <c r="AH55" i="2"/>
  <c r="AH56" i="2"/>
  <c r="AH57" i="2"/>
  <c r="AH58" i="2"/>
  <c r="AH59" i="2"/>
  <c r="AH60" i="2"/>
  <c r="AH61" i="2"/>
  <c r="AH62" i="2"/>
  <c r="AH64" i="2"/>
  <c r="AH65" i="2"/>
  <c r="AH66" i="2"/>
  <c r="AH67" i="2"/>
  <c r="AH68" i="2"/>
  <c r="AH69" i="2"/>
  <c r="AH70" i="2"/>
  <c r="AH71" i="2"/>
  <c r="AH72" i="2"/>
  <c r="AH73" i="2"/>
  <c r="AH74" i="2"/>
  <c r="AH76" i="2"/>
  <c r="AH77" i="2"/>
  <c r="AH78" i="2"/>
  <c r="AH79" i="2"/>
  <c r="AH80" i="2"/>
  <c r="AH81" i="2"/>
  <c r="AH82" i="2"/>
  <c r="AH83" i="2"/>
  <c r="AH84" i="2"/>
  <c r="AH85" i="2"/>
  <c r="AH86" i="2"/>
  <c r="AH88" i="2"/>
  <c r="AH89" i="2"/>
  <c r="AH90" i="2"/>
  <c r="AH91" i="2"/>
  <c r="AH92" i="2"/>
  <c r="AH93" i="2"/>
  <c r="AH94" i="2"/>
  <c r="AH95" i="2"/>
  <c r="AH96" i="2"/>
  <c r="AH97" i="2"/>
  <c r="AH98" i="2"/>
  <c r="AH100" i="2"/>
  <c r="AH101" i="2"/>
  <c r="AH102" i="2"/>
  <c r="AH103" i="2"/>
  <c r="AH104" i="2"/>
  <c r="AH105" i="2"/>
  <c r="AH106" i="2"/>
  <c r="AH107" i="2"/>
  <c r="AH108" i="2"/>
  <c r="AH109" i="2"/>
  <c r="AH110" i="2"/>
  <c r="AH112" i="2"/>
  <c r="AH113" i="2"/>
  <c r="AH114" i="2"/>
  <c r="AH115" i="2"/>
  <c r="AH116" i="2"/>
  <c r="AH117" i="2"/>
  <c r="AH118" i="2"/>
  <c r="AH119" i="2"/>
  <c r="AH120" i="2"/>
  <c r="AH121" i="2"/>
  <c r="AH122" i="2"/>
  <c r="AH124" i="2"/>
  <c r="AH125" i="2"/>
  <c r="AH126" i="2"/>
  <c r="AH127" i="2"/>
  <c r="AH128" i="2"/>
  <c r="AH129" i="2"/>
  <c r="AH130" i="2"/>
  <c r="AH131" i="2"/>
  <c r="AH132" i="2"/>
  <c r="AH133" i="2"/>
  <c r="AH134" i="2"/>
  <c r="AH136" i="2"/>
  <c r="AH137" i="2"/>
  <c r="AH138" i="2"/>
  <c r="AH139" i="2"/>
  <c r="AH140" i="2"/>
  <c r="AH141" i="2"/>
  <c r="AH142" i="2"/>
  <c r="AH143" i="2"/>
  <c r="AH144" i="2"/>
  <c r="AH145" i="2"/>
  <c r="AH146" i="2"/>
  <c r="AH148" i="2"/>
  <c r="AH149" i="2"/>
  <c r="AH150" i="2"/>
  <c r="AH151" i="2"/>
  <c r="AH152" i="2"/>
  <c r="AH153" i="2"/>
  <c r="AH154" i="2"/>
  <c r="AH155" i="2"/>
  <c r="AI155" i="2" s="1"/>
  <c r="AH156" i="2"/>
  <c r="AH157" i="2"/>
  <c r="AH158" i="2"/>
  <c r="AH160" i="2"/>
  <c r="AI160" i="2" s="1"/>
  <c r="AH161" i="2"/>
  <c r="N158" i="2"/>
  <c r="Q158" i="2"/>
  <c r="R158" i="2"/>
  <c r="S158" i="2"/>
  <c r="T158" i="2"/>
  <c r="U158" i="2"/>
  <c r="V158" i="2" s="1"/>
  <c r="W158" i="2"/>
  <c r="X158" i="2"/>
  <c r="Y158" i="2"/>
  <c r="Z158" i="2"/>
  <c r="AC158" i="2"/>
  <c r="AF158" i="2"/>
  <c r="AJ158" i="2"/>
  <c r="AL158" i="2"/>
  <c r="AM158" i="2"/>
  <c r="AO158" i="2"/>
  <c r="AQ158" i="2" s="1"/>
  <c r="AP158" i="2"/>
  <c r="AS158" i="2"/>
  <c r="AT158" i="2"/>
  <c r="N159" i="2"/>
  <c r="Q159" i="2"/>
  <c r="R159" i="2"/>
  <c r="S159" i="2"/>
  <c r="T159" i="2"/>
  <c r="W159" i="2"/>
  <c r="Y159" i="2" s="1"/>
  <c r="X159" i="2"/>
  <c r="Z159" i="2"/>
  <c r="AC159" i="2"/>
  <c r="AF159" i="2"/>
  <c r="AO159" i="2"/>
  <c r="AP159" i="2" s="1"/>
  <c r="AQ159" i="2"/>
  <c r="AR159" i="2"/>
  <c r="AS159" i="2"/>
  <c r="AT159" i="2"/>
  <c r="N160" i="2"/>
  <c r="Q160" i="2"/>
  <c r="R160" i="2"/>
  <c r="S160" i="2"/>
  <c r="T160" i="2"/>
  <c r="W160" i="2"/>
  <c r="Y160" i="2" s="1"/>
  <c r="X160" i="2"/>
  <c r="AC160" i="2"/>
  <c r="AF160" i="2"/>
  <c r="AJ160" i="2"/>
  <c r="AO160" i="2"/>
  <c r="AQ160" i="2" s="1"/>
  <c r="AP160" i="2"/>
  <c r="AR160" i="2"/>
  <c r="AS160" i="2"/>
  <c r="AT160" i="2"/>
  <c r="N161" i="2"/>
  <c r="Q161" i="2"/>
  <c r="AE161" i="2" s="1"/>
  <c r="U161" i="2" s="1"/>
  <c r="V161" i="2" s="1"/>
  <c r="R161" i="2"/>
  <c r="S161" i="2"/>
  <c r="T161" i="2"/>
  <c r="W161" i="2"/>
  <c r="Z161" i="2" s="1"/>
  <c r="X161" i="2"/>
  <c r="Y161" i="2"/>
  <c r="AJ161" i="2"/>
  <c r="AC161" i="2"/>
  <c r="AF161" i="2"/>
  <c r="AO161" i="2"/>
  <c r="AQ161" i="2" s="1"/>
  <c r="AP161" i="2"/>
  <c r="AR161" i="2"/>
  <c r="AS161" i="2"/>
  <c r="AT161" i="2"/>
  <c r="N5" i="2"/>
  <c r="Q5" i="2"/>
  <c r="R5" i="2"/>
  <c r="S5" i="2"/>
  <c r="T5" i="2"/>
  <c r="W5" i="2"/>
  <c r="X5" i="2"/>
  <c r="AJ5" i="2"/>
  <c r="AO5" i="2"/>
  <c r="AQ5" i="2" s="1"/>
  <c r="AP5" i="2"/>
  <c r="AS5" i="2"/>
  <c r="AT5" i="2"/>
  <c r="N6" i="2"/>
  <c r="Q6" i="2"/>
  <c r="R6" i="2"/>
  <c r="S6" i="2"/>
  <c r="T6" i="2"/>
  <c r="W6" i="2"/>
  <c r="X6" i="2"/>
  <c r="Y6" i="2"/>
  <c r="Z6" i="2"/>
  <c r="AO6" i="2"/>
  <c r="AQ6" i="2" s="1"/>
  <c r="AP6" i="2"/>
  <c r="AS6" i="2"/>
  <c r="AT6" i="2"/>
  <c r="N7" i="2"/>
  <c r="Q7" i="2"/>
  <c r="R7" i="2"/>
  <c r="S7" i="2"/>
  <c r="T7" i="2"/>
  <c r="W7" i="2"/>
  <c r="Y7" i="2" s="1"/>
  <c r="X7" i="2"/>
  <c r="AO7" i="2"/>
  <c r="AP7" i="2" s="1"/>
  <c r="AS7" i="2"/>
  <c r="AT7" i="2"/>
  <c r="N8" i="2"/>
  <c r="Q8" i="2"/>
  <c r="R8" i="2"/>
  <c r="S8" i="2"/>
  <c r="T8" i="2"/>
  <c r="W8" i="2"/>
  <c r="Y8" i="2" s="1"/>
  <c r="X8" i="2"/>
  <c r="AJ8" i="2"/>
  <c r="AO8" i="2"/>
  <c r="AP8" i="2"/>
  <c r="AQ8" i="2"/>
  <c r="AS8" i="2"/>
  <c r="AT8" i="2"/>
  <c r="N9" i="2"/>
  <c r="Q9" i="2"/>
  <c r="R9" i="2"/>
  <c r="S9" i="2"/>
  <c r="T9" i="2"/>
  <c r="W9" i="2"/>
  <c r="X9" i="2"/>
  <c r="AJ9" i="2"/>
  <c r="AO9" i="2"/>
  <c r="AQ9" i="2" s="1"/>
  <c r="AP9" i="2"/>
  <c r="AS9" i="2"/>
  <c r="AT9" i="2"/>
  <c r="N10" i="2"/>
  <c r="Q10" i="2"/>
  <c r="R10" i="2"/>
  <c r="S10" i="2"/>
  <c r="T10" i="2"/>
  <c r="W10" i="2"/>
  <c r="X10" i="2"/>
  <c r="Y10" i="2" s="1"/>
  <c r="Z10" i="2"/>
  <c r="AO10" i="2"/>
  <c r="AQ10" i="2" s="1"/>
  <c r="AP10" i="2"/>
  <c r="AS10" i="2"/>
  <c r="AT10" i="2"/>
  <c r="N11" i="2"/>
  <c r="Q11" i="2"/>
  <c r="R11" i="2"/>
  <c r="S11" i="2"/>
  <c r="T11" i="2"/>
  <c r="W11" i="2"/>
  <c r="Y11" i="2" s="1"/>
  <c r="X11" i="2"/>
  <c r="AO11" i="2"/>
  <c r="AQ11" i="2" s="1"/>
  <c r="AS11" i="2"/>
  <c r="AT11" i="2"/>
  <c r="N12" i="2"/>
  <c r="Q12" i="2"/>
  <c r="R12" i="2"/>
  <c r="S12" i="2"/>
  <c r="T12" i="2"/>
  <c r="W12" i="2"/>
  <c r="Y12" i="2" s="1"/>
  <c r="X12" i="2"/>
  <c r="AJ12" i="2"/>
  <c r="AO12" i="2"/>
  <c r="AP12" i="2"/>
  <c r="AQ12" i="2"/>
  <c r="AS12" i="2"/>
  <c r="AT12" i="2"/>
  <c r="N13" i="2"/>
  <c r="Q13" i="2"/>
  <c r="R13" i="2"/>
  <c r="S13" i="2"/>
  <c r="T13" i="2"/>
  <c r="W13" i="2"/>
  <c r="X13" i="2"/>
  <c r="AO13" i="2"/>
  <c r="AQ13" i="2" s="1"/>
  <c r="AP13" i="2"/>
  <c r="AS13" i="2"/>
  <c r="AT13" i="2"/>
  <c r="N14" i="2"/>
  <c r="Q14" i="2"/>
  <c r="R14" i="2"/>
  <c r="S14" i="2"/>
  <c r="T14" i="2"/>
  <c r="W14" i="2"/>
  <c r="X14" i="2"/>
  <c r="Y14" i="2" s="1"/>
  <c r="Z14" i="2"/>
  <c r="AO14" i="2"/>
  <c r="AQ14" i="2" s="1"/>
  <c r="AP14" i="2"/>
  <c r="AS14" i="2"/>
  <c r="AT14" i="2"/>
  <c r="N15" i="2"/>
  <c r="Q15" i="2"/>
  <c r="R15" i="2"/>
  <c r="S15" i="2"/>
  <c r="T15" i="2"/>
  <c r="W15" i="2"/>
  <c r="Y15" i="2" s="1"/>
  <c r="X15" i="2"/>
  <c r="AO15" i="2"/>
  <c r="AQ15" i="2" s="1"/>
  <c r="AP15" i="2"/>
  <c r="AS15" i="2"/>
  <c r="AT15" i="2"/>
  <c r="N16" i="2"/>
  <c r="Q16" i="2"/>
  <c r="R16" i="2"/>
  <c r="S16" i="2"/>
  <c r="T16" i="2"/>
  <c r="W16" i="2"/>
  <c r="Y16" i="2" s="1"/>
  <c r="X16" i="2"/>
  <c r="AJ16" i="2"/>
  <c r="AO16" i="2"/>
  <c r="AP16" i="2"/>
  <c r="AQ16" i="2"/>
  <c r="AS16" i="2"/>
  <c r="AT16" i="2"/>
  <c r="N17" i="2"/>
  <c r="Q17" i="2"/>
  <c r="R17" i="2"/>
  <c r="S17" i="2"/>
  <c r="T17" i="2"/>
  <c r="W17" i="2"/>
  <c r="X17" i="2"/>
  <c r="AJ17" i="2"/>
  <c r="AO17" i="2"/>
  <c r="AQ17" i="2" s="1"/>
  <c r="AP17" i="2"/>
  <c r="AS17" i="2"/>
  <c r="AT17" i="2"/>
  <c r="N18" i="2"/>
  <c r="Q18" i="2"/>
  <c r="R18" i="2"/>
  <c r="S18" i="2"/>
  <c r="T18" i="2"/>
  <c r="W18" i="2"/>
  <c r="X18" i="2"/>
  <c r="Y18" i="2" s="1"/>
  <c r="Z18" i="2"/>
  <c r="AO18" i="2"/>
  <c r="AQ18" i="2" s="1"/>
  <c r="AP18" i="2"/>
  <c r="AS18" i="2"/>
  <c r="AT18" i="2"/>
  <c r="N19" i="2"/>
  <c r="Q19" i="2"/>
  <c r="R19" i="2"/>
  <c r="S19" i="2"/>
  <c r="T19" i="2"/>
  <c r="W19" i="2"/>
  <c r="Y19" i="2" s="1"/>
  <c r="X19" i="2"/>
  <c r="AJ19" i="2"/>
  <c r="AO19" i="2"/>
  <c r="AQ19" i="2" s="1"/>
  <c r="AP19" i="2"/>
  <c r="AS19" i="2"/>
  <c r="AT19" i="2"/>
  <c r="N20" i="2"/>
  <c r="Q20" i="2"/>
  <c r="R20" i="2"/>
  <c r="S20" i="2"/>
  <c r="T20" i="2"/>
  <c r="W20" i="2"/>
  <c r="Y20" i="2" s="1"/>
  <c r="X20" i="2"/>
  <c r="AJ20" i="2"/>
  <c r="AO20" i="2"/>
  <c r="AP20" i="2"/>
  <c r="AQ20" i="2"/>
  <c r="AS20" i="2"/>
  <c r="AT20" i="2"/>
  <c r="N21" i="2"/>
  <c r="Q21" i="2"/>
  <c r="R21" i="2"/>
  <c r="S21" i="2"/>
  <c r="T21" i="2"/>
  <c r="W21" i="2"/>
  <c r="X21" i="2"/>
  <c r="AJ21" i="2"/>
  <c r="AO21" i="2"/>
  <c r="AQ21" i="2" s="1"/>
  <c r="AP21" i="2"/>
  <c r="AS21" i="2"/>
  <c r="AT21" i="2"/>
  <c r="N22" i="2"/>
  <c r="Q22" i="2"/>
  <c r="R22" i="2"/>
  <c r="S22" i="2"/>
  <c r="T22" i="2"/>
  <c r="W22" i="2"/>
  <c r="X22" i="2"/>
  <c r="Y22" i="2" s="1"/>
  <c r="Z22" i="2"/>
  <c r="AO22" i="2"/>
  <c r="AQ22" i="2" s="1"/>
  <c r="AP22" i="2"/>
  <c r="AS22" i="2"/>
  <c r="AT22" i="2"/>
  <c r="N23" i="2"/>
  <c r="Q23" i="2"/>
  <c r="R23" i="2"/>
  <c r="S23" i="2"/>
  <c r="T23" i="2"/>
  <c r="W23" i="2"/>
  <c r="Y23" i="2" s="1"/>
  <c r="X23" i="2"/>
  <c r="AJ23" i="2"/>
  <c r="AO23" i="2"/>
  <c r="AP23" i="2"/>
  <c r="AS23" i="2"/>
  <c r="AT23" i="2"/>
  <c r="N24" i="2"/>
  <c r="Q24" i="2"/>
  <c r="R24" i="2"/>
  <c r="S24" i="2"/>
  <c r="T24" i="2"/>
  <c r="W24" i="2"/>
  <c r="Y24" i="2" s="1"/>
  <c r="X24" i="2"/>
  <c r="AJ24" i="2"/>
  <c r="AO24" i="2"/>
  <c r="AP24" i="2"/>
  <c r="AQ24" i="2"/>
  <c r="AR24" i="2"/>
  <c r="AS24" i="2"/>
  <c r="AT24" i="2"/>
  <c r="N25" i="2"/>
  <c r="Q25" i="2"/>
  <c r="R25" i="2"/>
  <c r="S25" i="2"/>
  <c r="T25" i="2"/>
  <c r="W25" i="2"/>
  <c r="X25" i="2"/>
  <c r="AO25" i="2"/>
  <c r="AQ25" i="2" s="1"/>
  <c r="AP25" i="2"/>
  <c r="AS25" i="2"/>
  <c r="AT25" i="2"/>
  <c r="N26" i="2"/>
  <c r="Q26" i="2"/>
  <c r="R26" i="2"/>
  <c r="S26" i="2"/>
  <c r="T26" i="2"/>
  <c r="W26" i="2"/>
  <c r="X26" i="2"/>
  <c r="Y26" i="2" s="1"/>
  <c r="Z26" i="2"/>
  <c r="AO26" i="2"/>
  <c r="AQ26" i="2" s="1"/>
  <c r="AP26" i="2"/>
  <c r="AS26" i="2"/>
  <c r="AT26" i="2"/>
  <c r="N27" i="2"/>
  <c r="Q27" i="2"/>
  <c r="R27" i="2"/>
  <c r="S27" i="2"/>
  <c r="T27" i="2"/>
  <c r="W27" i="2"/>
  <c r="Y27" i="2" s="1"/>
  <c r="X27" i="2"/>
  <c r="Z27" i="2"/>
  <c r="AO27" i="2"/>
  <c r="AQ27" i="2" s="1"/>
  <c r="AS27" i="2"/>
  <c r="AT27" i="2"/>
  <c r="N28" i="2"/>
  <c r="Q28" i="2"/>
  <c r="R28" i="2"/>
  <c r="S28" i="2"/>
  <c r="T28" i="2"/>
  <c r="W28" i="2"/>
  <c r="Y28" i="2" s="1"/>
  <c r="X28" i="2"/>
  <c r="AJ28" i="2"/>
  <c r="AO28" i="2"/>
  <c r="AP28" i="2"/>
  <c r="AQ28" i="2"/>
  <c r="AS28" i="2"/>
  <c r="AT28" i="2"/>
  <c r="N29" i="2"/>
  <c r="Q29" i="2"/>
  <c r="R29" i="2"/>
  <c r="S29" i="2"/>
  <c r="T29" i="2"/>
  <c r="W29" i="2"/>
  <c r="X29" i="2"/>
  <c r="AJ29" i="2"/>
  <c r="AO29" i="2"/>
  <c r="AQ29" i="2" s="1"/>
  <c r="AP29" i="2"/>
  <c r="AS29" i="2"/>
  <c r="AT29" i="2"/>
  <c r="N30" i="2"/>
  <c r="Q30" i="2"/>
  <c r="R30" i="2"/>
  <c r="S30" i="2"/>
  <c r="T30" i="2"/>
  <c r="W30" i="2"/>
  <c r="X30" i="2"/>
  <c r="Y30" i="2" s="1"/>
  <c r="Z30" i="2"/>
  <c r="AO30" i="2"/>
  <c r="AQ30" i="2" s="1"/>
  <c r="AP30" i="2"/>
  <c r="AS30" i="2"/>
  <c r="AT30" i="2"/>
  <c r="N31" i="2"/>
  <c r="Q31" i="2"/>
  <c r="R31" i="2"/>
  <c r="S31" i="2"/>
  <c r="T31" i="2"/>
  <c r="W31" i="2"/>
  <c r="X31" i="2"/>
  <c r="Y31" i="2" s="1"/>
  <c r="AJ31" i="2"/>
  <c r="AO31" i="2"/>
  <c r="AP31" i="2" s="1"/>
  <c r="AS31" i="2"/>
  <c r="AT31" i="2"/>
  <c r="N32" i="2"/>
  <c r="Q32" i="2"/>
  <c r="R32" i="2"/>
  <c r="S32" i="2"/>
  <c r="T32" i="2"/>
  <c r="W32" i="2"/>
  <c r="X32" i="2"/>
  <c r="AJ32" i="2"/>
  <c r="AO32" i="2"/>
  <c r="AQ32" i="2" s="1"/>
  <c r="AP32" i="2"/>
  <c r="AS32" i="2"/>
  <c r="AT32" i="2"/>
  <c r="N33" i="2"/>
  <c r="Q33" i="2"/>
  <c r="R33" i="2"/>
  <c r="S33" i="2"/>
  <c r="T33" i="2"/>
  <c r="W33" i="2"/>
  <c r="X33" i="2"/>
  <c r="AJ33" i="2"/>
  <c r="AO33" i="2"/>
  <c r="AP33" i="2"/>
  <c r="AQ33" i="2"/>
  <c r="AS33" i="2"/>
  <c r="AT33" i="2"/>
  <c r="N34" i="2"/>
  <c r="Q34" i="2"/>
  <c r="R34" i="2"/>
  <c r="S34" i="2"/>
  <c r="T34" i="2"/>
  <c r="W34" i="2"/>
  <c r="Y34" i="2" s="1"/>
  <c r="X34" i="2"/>
  <c r="Z34" i="2"/>
  <c r="AO34" i="2"/>
  <c r="AQ34" i="2" s="1"/>
  <c r="AP34" i="2"/>
  <c r="AS34" i="2"/>
  <c r="AT34" i="2"/>
  <c r="N35" i="2"/>
  <c r="Q35" i="2"/>
  <c r="R35" i="2"/>
  <c r="S35" i="2"/>
  <c r="T35" i="2"/>
  <c r="W35" i="2"/>
  <c r="X35" i="2"/>
  <c r="Y35" i="2" s="1"/>
  <c r="AJ35" i="2"/>
  <c r="AO35" i="2"/>
  <c r="AP35" i="2"/>
  <c r="AS35" i="2"/>
  <c r="AT35" i="2"/>
  <c r="N36" i="2"/>
  <c r="Q36" i="2"/>
  <c r="R36" i="2"/>
  <c r="S36" i="2"/>
  <c r="T36" i="2"/>
  <c r="W36" i="2"/>
  <c r="X36" i="2"/>
  <c r="AJ36" i="2"/>
  <c r="AO36" i="2"/>
  <c r="AP36" i="2" s="1"/>
  <c r="AS36" i="2"/>
  <c r="AT36" i="2"/>
  <c r="N37" i="2"/>
  <c r="Q37" i="2"/>
  <c r="R37" i="2"/>
  <c r="S37" i="2"/>
  <c r="T37" i="2"/>
  <c r="W37" i="2"/>
  <c r="X37" i="2"/>
  <c r="Z37" i="2"/>
  <c r="AO37" i="2"/>
  <c r="AP37" i="2"/>
  <c r="AQ37" i="2"/>
  <c r="AS37" i="2"/>
  <c r="AT37" i="2"/>
  <c r="N38" i="2"/>
  <c r="Q38" i="2"/>
  <c r="R38" i="2"/>
  <c r="S38" i="2"/>
  <c r="T38" i="2"/>
  <c r="W38" i="2"/>
  <c r="Z38" i="2" s="1"/>
  <c r="X38" i="2"/>
  <c r="AO38" i="2"/>
  <c r="AQ38" i="2" s="1"/>
  <c r="AS38" i="2"/>
  <c r="AT38" i="2"/>
  <c r="N39" i="2"/>
  <c r="Q39" i="2"/>
  <c r="R39" i="2"/>
  <c r="S39" i="2"/>
  <c r="T39" i="2"/>
  <c r="W39" i="2"/>
  <c r="X39" i="2"/>
  <c r="Y39" i="2" s="1"/>
  <c r="Z39" i="2"/>
  <c r="AO39" i="2"/>
  <c r="AQ39" i="2" s="1"/>
  <c r="AP39" i="2"/>
  <c r="AS39" i="2"/>
  <c r="AT39" i="2"/>
  <c r="N40" i="2"/>
  <c r="Q40" i="2"/>
  <c r="R40" i="2"/>
  <c r="S40" i="2"/>
  <c r="T40" i="2"/>
  <c r="W40" i="2"/>
  <c r="X40" i="2"/>
  <c r="AO40" i="2"/>
  <c r="AS40" i="2"/>
  <c r="AT40" i="2"/>
  <c r="N41" i="2"/>
  <c r="Q41" i="2"/>
  <c r="R41" i="2"/>
  <c r="S41" i="2"/>
  <c r="T41" i="2"/>
  <c r="W41" i="2"/>
  <c r="X41" i="2"/>
  <c r="AO41" i="2"/>
  <c r="AP41" i="2"/>
  <c r="AQ41" i="2"/>
  <c r="AS41" i="2"/>
  <c r="AT41" i="2"/>
  <c r="N42" i="2"/>
  <c r="Q42" i="2"/>
  <c r="R42" i="2"/>
  <c r="S42" i="2"/>
  <c r="T42" i="2"/>
  <c r="W42" i="2"/>
  <c r="Y42" i="2" s="1"/>
  <c r="X42" i="2"/>
  <c r="AJ42" i="2"/>
  <c r="AO42" i="2"/>
  <c r="AQ42" i="2" s="1"/>
  <c r="AP42" i="2"/>
  <c r="AS42" i="2"/>
  <c r="AT42" i="2"/>
  <c r="N43" i="2"/>
  <c r="Q43" i="2"/>
  <c r="R43" i="2"/>
  <c r="S43" i="2"/>
  <c r="T43" i="2"/>
  <c r="W43" i="2"/>
  <c r="X43" i="2"/>
  <c r="AJ43" i="2"/>
  <c r="AO43" i="2"/>
  <c r="AP43" i="2" s="1"/>
  <c r="AS43" i="2"/>
  <c r="AT43" i="2"/>
  <c r="N44" i="2"/>
  <c r="Q44" i="2"/>
  <c r="R44" i="2"/>
  <c r="S44" i="2"/>
  <c r="T44" i="2"/>
  <c r="W44" i="2"/>
  <c r="X44" i="2"/>
  <c r="AO44" i="2"/>
  <c r="AS44" i="2"/>
  <c r="AT44" i="2"/>
  <c r="N45" i="2"/>
  <c r="Q45" i="2"/>
  <c r="R45" i="2"/>
  <c r="S45" i="2"/>
  <c r="T45" i="2"/>
  <c r="W45" i="2"/>
  <c r="X45" i="2"/>
  <c r="Y45" i="2"/>
  <c r="Z45" i="2"/>
  <c r="AJ45" i="2"/>
  <c r="AO45" i="2"/>
  <c r="AP45" i="2"/>
  <c r="AQ45" i="2"/>
  <c r="AS45" i="2"/>
  <c r="AT45" i="2"/>
  <c r="N46" i="2"/>
  <c r="Q46" i="2"/>
  <c r="R46" i="2"/>
  <c r="S46" i="2"/>
  <c r="T46" i="2"/>
  <c r="W46" i="2"/>
  <c r="Z46" i="2" s="1"/>
  <c r="X46" i="2"/>
  <c r="Y46" i="2"/>
  <c r="AO46" i="2"/>
  <c r="AQ46" i="2" s="1"/>
  <c r="AP46" i="2"/>
  <c r="AS46" i="2"/>
  <c r="AT46" i="2"/>
  <c r="N47" i="2"/>
  <c r="Q47" i="2"/>
  <c r="R47" i="2"/>
  <c r="S47" i="2"/>
  <c r="T47" i="2"/>
  <c r="W47" i="2"/>
  <c r="Y47" i="2" s="1"/>
  <c r="X47" i="2"/>
  <c r="AO47" i="2"/>
  <c r="AP47" i="2" s="1"/>
  <c r="AQ47" i="2"/>
  <c r="AS47" i="2"/>
  <c r="AT47" i="2"/>
  <c r="N48" i="2"/>
  <c r="Q48" i="2"/>
  <c r="R48" i="2"/>
  <c r="S48" i="2"/>
  <c r="T48" i="2"/>
  <c r="W48" i="2"/>
  <c r="X48" i="2"/>
  <c r="Y48" i="2"/>
  <c r="Z48" i="2"/>
  <c r="AJ48" i="2"/>
  <c r="AO48" i="2"/>
  <c r="AP48" i="2"/>
  <c r="AQ48" i="2"/>
  <c r="AS48" i="2"/>
  <c r="AT48" i="2"/>
  <c r="N49" i="2"/>
  <c r="Q49" i="2"/>
  <c r="R49" i="2"/>
  <c r="S49" i="2"/>
  <c r="T49" i="2"/>
  <c r="W49" i="2"/>
  <c r="Z49" i="2" s="1"/>
  <c r="X49" i="2"/>
  <c r="Y49" i="2"/>
  <c r="AO49" i="2"/>
  <c r="AP49" i="2" s="1"/>
  <c r="AS49" i="2"/>
  <c r="AT49" i="2"/>
  <c r="N50" i="2"/>
  <c r="Q50" i="2"/>
  <c r="R50" i="2"/>
  <c r="S50" i="2"/>
  <c r="T50" i="2"/>
  <c r="W50" i="2"/>
  <c r="X50" i="2"/>
  <c r="Y50" i="2"/>
  <c r="Z50" i="2"/>
  <c r="AO50" i="2"/>
  <c r="AP50" i="2" s="1"/>
  <c r="AQ50" i="2"/>
  <c r="AS50" i="2"/>
  <c r="AT50" i="2"/>
  <c r="N51" i="2"/>
  <c r="Q51" i="2"/>
  <c r="R51" i="2"/>
  <c r="S51" i="2"/>
  <c r="T51" i="2"/>
  <c r="W51" i="2"/>
  <c r="Y51" i="2" s="1"/>
  <c r="X51" i="2"/>
  <c r="AO51" i="2"/>
  <c r="AP51" i="2" s="1"/>
  <c r="AQ51" i="2"/>
  <c r="AS51" i="2"/>
  <c r="AT51" i="2"/>
  <c r="N52" i="2"/>
  <c r="Q52" i="2"/>
  <c r="R52" i="2"/>
  <c r="S52" i="2"/>
  <c r="T52" i="2"/>
  <c r="W52" i="2"/>
  <c r="X52" i="2"/>
  <c r="Y52" i="2"/>
  <c r="Z52" i="2"/>
  <c r="AJ52" i="2"/>
  <c r="AO52" i="2"/>
  <c r="AP52" i="2"/>
  <c r="AQ52" i="2"/>
  <c r="AS52" i="2"/>
  <c r="AT52" i="2"/>
  <c r="N53" i="2"/>
  <c r="Q53" i="2"/>
  <c r="R53" i="2"/>
  <c r="S53" i="2"/>
  <c r="T53" i="2"/>
  <c r="W53" i="2"/>
  <c r="Z53" i="2" s="1"/>
  <c r="X53" i="2"/>
  <c r="Y53" i="2"/>
  <c r="AO53" i="2"/>
  <c r="AP53" i="2" s="1"/>
  <c r="AS53" i="2"/>
  <c r="AT53" i="2"/>
  <c r="N54" i="2"/>
  <c r="Q54" i="2"/>
  <c r="R54" i="2"/>
  <c r="S54" i="2"/>
  <c r="T54" i="2"/>
  <c r="W54" i="2"/>
  <c r="X54" i="2"/>
  <c r="Y54" i="2"/>
  <c r="Z54" i="2"/>
  <c r="AO54" i="2"/>
  <c r="AP54" i="2" s="1"/>
  <c r="AQ54" i="2"/>
  <c r="AS54" i="2"/>
  <c r="AT54" i="2"/>
  <c r="N55" i="2"/>
  <c r="Q55" i="2"/>
  <c r="R55" i="2"/>
  <c r="S55" i="2"/>
  <c r="T55" i="2"/>
  <c r="W55" i="2"/>
  <c r="Y55" i="2" s="1"/>
  <c r="X55" i="2"/>
  <c r="AO55" i="2"/>
  <c r="AP55" i="2" s="1"/>
  <c r="AQ55" i="2"/>
  <c r="AS55" i="2"/>
  <c r="AT55" i="2"/>
  <c r="N56" i="2"/>
  <c r="Q56" i="2"/>
  <c r="R56" i="2"/>
  <c r="S56" i="2"/>
  <c r="T56" i="2"/>
  <c r="W56" i="2"/>
  <c r="X56" i="2"/>
  <c r="Y56" i="2"/>
  <c r="Z56" i="2"/>
  <c r="AJ56" i="2"/>
  <c r="AO56" i="2"/>
  <c r="AP56" i="2"/>
  <c r="AQ56" i="2"/>
  <c r="AS56" i="2"/>
  <c r="AT56" i="2"/>
  <c r="N57" i="2"/>
  <c r="Q57" i="2"/>
  <c r="R57" i="2"/>
  <c r="S57" i="2"/>
  <c r="T57" i="2"/>
  <c r="W57" i="2"/>
  <c r="Z57" i="2" s="1"/>
  <c r="X57" i="2"/>
  <c r="Y57" i="2"/>
  <c r="AO57" i="2"/>
  <c r="AP57" i="2" s="1"/>
  <c r="AS57" i="2"/>
  <c r="AT57" i="2"/>
  <c r="N58" i="2"/>
  <c r="Q58" i="2"/>
  <c r="R58" i="2"/>
  <c r="S58" i="2"/>
  <c r="T58" i="2"/>
  <c r="W58" i="2"/>
  <c r="X58" i="2"/>
  <c r="Y58" i="2"/>
  <c r="Z58" i="2"/>
  <c r="AO58" i="2"/>
  <c r="AP58" i="2" s="1"/>
  <c r="AQ58" i="2"/>
  <c r="AS58" i="2"/>
  <c r="AT58" i="2"/>
  <c r="N59" i="2"/>
  <c r="Q59" i="2"/>
  <c r="R59" i="2"/>
  <c r="S59" i="2"/>
  <c r="T59" i="2"/>
  <c r="W59" i="2"/>
  <c r="Y59" i="2" s="1"/>
  <c r="X59" i="2"/>
  <c r="AO59" i="2"/>
  <c r="AP59" i="2" s="1"/>
  <c r="AQ59" i="2"/>
  <c r="AS59" i="2"/>
  <c r="AT59" i="2"/>
  <c r="N60" i="2"/>
  <c r="Q60" i="2"/>
  <c r="R60" i="2"/>
  <c r="S60" i="2"/>
  <c r="T60" i="2"/>
  <c r="W60" i="2"/>
  <c r="X60" i="2"/>
  <c r="Y60" i="2"/>
  <c r="Z60" i="2"/>
  <c r="AJ60" i="2"/>
  <c r="AO60" i="2"/>
  <c r="AP60" i="2"/>
  <c r="AQ60" i="2"/>
  <c r="AS60" i="2"/>
  <c r="AT60" i="2"/>
  <c r="N61" i="2"/>
  <c r="Q61" i="2"/>
  <c r="R61" i="2"/>
  <c r="S61" i="2"/>
  <c r="T61" i="2"/>
  <c r="W61" i="2"/>
  <c r="Z61" i="2" s="1"/>
  <c r="X61" i="2"/>
  <c r="Y61" i="2"/>
  <c r="AO61" i="2"/>
  <c r="AS61" i="2"/>
  <c r="AT61" i="2"/>
  <c r="N62" i="2"/>
  <c r="Q62" i="2"/>
  <c r="R62" i="2"/>
  <c r="S62" i="2"/>
  <c r="T62" i="2"/>
  <c r="W62" i="2"/>
  <c r="X62" i="2"/>
  <c r="Y62" i="2"/>
  <c r="Z62" i="2"/>
  <c r="AO62" i="2"/>
  <c r="AP62" i="2" s="1"/>
  <c r="AQ62" i="2"/>
  <c r="AS62" i="2"/>
  <c r="AT62" i="2"/>
  <c r="N63" i="2"/>
  <c r="Q63" i="2"/>
  <c r="R63" i="2"/>
  <c r="S63" i="2"/>
  <c r="T63" i="2"/>
  <c r="W63" i="2"/>
  <c r="X63" i="2"/>
  <c r="AO63" i="2"/>
  <c r="AP63" i="2" s="1"/>
  <c r="AQ63" i="2"/>
  <c r="AS63" i="2"/>
  <c r="AT63" i="2"/>
  <c r="N64" i="2"/>
  <c r="Q64" i="2"/>
  <c r="R64" i="2"/>
  <c r="S64" i="2"/>
  <c r="T64" i="2"/>
  <c r="W64" i="2"/>
  <c r="X64" i="2"/>
  <c r="Y64" i="2"/>
  <c r="Z64" i="2"/>
  <c r="AO64" i="2"/>
  <c r="AP64" i="2"/>
  <c r="AQ64" i="2"/>
  <c r="AR64" i="2"/>
  <c r="AS64" i="2"/>
  <c r="AT64" i="2"/>
  <c r="N65" i="2"/>
  <c r="Q65" i="2"/>
  <c r="R65" i="2"/>
  <c r="S65" i="2"/>
  <c r="T65" i="2"/>
  <c r="W65" i="2"/>
  <c r="X65" i="2"/>
  <c r="AO65" i="2"/>
  <c r="AQ65" i="2" s="1"/>
  <c r="AS65" i="2"/>
  <c r="AT65" i="2"/>
  <c r="N66" i="2"/>
  <c r="Q66" i="2"/>
  <c r="R66" i="2"/>
  <c r="S66" i="2"/>
  <c r="T66" i="2"/>
  <c r="W66" i="2"/>
  <c r="X66" i="2"/>
  <c r="Y66" i="2"/>
  <c r="Z66" i="2"/>
  <c r="AO66" i="2"/>
  <c r="AP66" i="2"/>
  <c r="AQ66" i="2"/>
  <c r="AR66" i="2"/>
  <c r="AS66" i="2"/>
  <c r="AT66" i="2"/>
  <c r="N67" i="2"/>
  <c r="Q67" i="2"/>
  <c r="R67" i="2"/>
  <c r="S67" i="2"/>
  <c r="T67" i="2"/>
  <c r="W67" i="2"/>
  <c r="X67" i="2"/>
  <c r="AJ67" i="2"/>
  <c r="AO67" i="2"/>
  <c r="AR85" i="2" s="1"/>
  <c r="AS67" i="2"/>
  <c r="AT67" i="2"/>
  <c r="N68" i="2"/>
  <c r="Q68" i="2"/>
  <c r="R68" i="2"/>
  <c r="S68" i="2"/>
  <c r="T68" i="2"/>
  <c r="W68" i="2"/>
  <c r="X68" i="2"/>
  <c r="Y68" i="2"/>
  <c r="Z68" i="2"/>
  <c r="AJ68" i="2"/>
  <c r="AO68" i="2"/>
  <c r="AP68" i="2"/>
  <c r="AQ68" i="2"/>
  <c r="AS68" i="2"/>
  <c r="AT68" i="2"/>
  <c r="N69" i="2"/>
  <c r="Q69" i="2"/>
  <c r="R69" i="2"/>
  <c r="S69" i="2"/>
  <c r="T69" i="2"/>
  <c r="W69" i="2"/>
  <c r="X69" i="2"/>
  <c r="Y69" i="2"/>
  <c r="AO69" i="2"/>
  <c r="AQ69" i="2" s="1"/>
  <c r="AS69" i="2"/>
  <c r="AT69" i="2"/>
  <c r="N70" i="2"/>
  <c r="Q70" i="2"/>
  <c r="R70" i="2"/>
  <c r="S70" i="2"/>
  <c r="T70" i="2"/>
  <c r="W70" i="2"/>
  <c r="X70" i="2"/>
  <c r="Y70" i="2"/>
  <c r="Z70" i="2"/>
  <c r="AO70" i="2"/>
  <c r="AP70" i="2"/>
  <c r="AQ70" i="2"/>
  <c r="AS70" i="2"/>
  <c r="AT70" i="2"/>
  <c r="N71" i="2"/>
  <c r="Q71" i="2"/>
  <c r="R71" i="2"/>
  <c r="S71" i="2"/>
  <c r="T71" i="2"/>
  <c r="W71" i="2"/>
  <c r="X71" i="2"/>
  <c r="AO71" i="2"/>
  <c r="AP71" i="2" s="1"/>
  <c r="AQ71" i="2"/>
  <c r="AS71" i="2"/>
  <c r="AT71" i="2"/>
  <c r="N72" i="2"/>
  <c r="Q72" i="2"/>
  <c r="R72" i="2"/>
  <c r="S72" i="2"/>
  <c r="T72" i="2"/>
  <c r="W72" i="2"/>
  <c r="X72" i="2"/>
  <c r="Y72" i="2"/>
  <c r="Z72" i="2"/>
  <c r="AO72" i="2"/>
  <c r="AP72" i="2"/>
  <c r="AQ72" i="2"/>
  <c r="AS72" i="2"/>
  <c r="AT72" i="2"/>
  <c r="N73" i="2"/>
  <c r="Q73" i="2"/>
  <c r="R73" i="2"/>
  <c r="S73" i="2"/>
  <c r="T73" i="2"/>
  <c r="W73" i="2"/>
  <c r="X73" i="2"/>
  <c r="Y73" i="2"/>
  <c r="AO73" i="2"/>
  <c r="AQ73" i="2" s="1"/>
  <c r="AS73" i="2"/>
  <c r="AT73" i="2"/>
  <c r="N74" i="2"/>
  <c r="Q74" i="2"/>
  <c r="R74" i="2"/>
  <c r="S74" i="2"/>
  <c r="T74" i="2"/>
  <c r="W74" i="2"/>
  <c r="X74" i="2"/>
  <c r="Y74" i="2" s="1"/>
  <c r="Z74" i="2"/>
  <c r="AO74" i="2"/>
  <c r="AP74" i="2"/>
  <c r="AQ74" i="2"/>
  <c r="AS74" i="2"/>
  <c r="AT74" i="2"/>
  <c r="N75" i="2"/>
  <c r="Q75" i="2"/>
  <c r="R75" i="2"/>
  <c r="S75" i="2"/>
  <c r="T75" i="2"/>
  <c r="W75" i="2"/>
  <c r="X75" i="2"/>
  <c r="AO75" i="2"/>
  <c r="AP75" i="2"/>
  <c r="AQ75" i="2"/>
  <c r="AS75" i="2"/>
  <c r="AT75" i="2"/>
  <c r="N76" i="2"/>
  <c r="Q76" i="2"/>
  <c r="R76" i="2"/>
  <c r="S76" i="2"/>
  <c r="T76" i="2"/>
  <c r="W76" i="2"/>
  <c r="Y76" i="2" s="1"/>
  <c r="X76" i="2"/>
  <c r="AJ76" i="2"/>
  <c r="AO76" i="2"/>
  <c r="AQ76" i="2" s="1"/>
  <c r="AP76" i="2"/>
  <c r="AS76" i="2"/>
  <c r="AT76" i="2"/>
  <c r="N77" i="2"/>
  <c r="Q77" i="2"/>
  <c r="R77" i="2"/>
  <c r="S77" i="2"/>
  <c r="T77" i="2"/>
  <c r="W77" i="2"/>
  <c r="X77" i="2"/>
  <c r="Y77" i="2"/>
  <c r="Z77" i="2"/>
  <c r="AJ77" i="2"/>
  <c r="AO77" i="2"/>
  <c r="AP77" i="2"/>
  <c r="AQ77" i="2"/>
  <c r="AS77" i="2"/>
  <c r="AT77" i="2"/>
  <c r="N78" i="2"/>
  <c r="Q78" i="2"/>
  <c r="R78" i="2"/>
  <c r="S78" i="2"/>
  <c r="T78" i="2"/>
  <c r="W78" i="2"/>
  <c r="Y78" i="2" s="1"/>
  <c r="X78" i="2"/>
  <c r="AO78" i="2"/>
  <c r="AP78" i="2" s="1"/>
  <c r="AS78" i="2"/>
  <c r="AT78" i="2"/>
  <c r="N79" i="2"/>
  <c r="Q79" i="2"/>
  <c r="R79" i="2"/>
  <c r="S79" i="2"/>
  <c r="T79" i="2"/>
  <c r="W79" i="2"/>
  <c r="X79" i="2"/>
  <c r="Y79" i="2"/>
  <c r="Z79" i="2"/>
  <c r="AO79" i="2"/>
  <c r="AP79" i="2"/>
  <c r="AQ79" i="2"/>
  <c r="AR79" i="2"/>
  <c r="AS79" i="2"/>
  <c r="AT79" i="2"/>
  <c r="N80" i="2"/>
  <c r="Q80" i="2"/>
  <c r="R80" i="2"/>
  <c r="S80" i="2"/>
  <c r="T80" i="2"/>
  <c r="W80" i="2"/>
  <c r="X80" i="2"/>
  <c r="AO80" i="2"/>
  <c r="AQ80" i="2" s="1"/>
  <c r="AP80" i="2"/>
  <c r="AS80" i="2"/>
  <c r="AT80" i="2"/>
  <c r="N81" i="2"/>
  <c r="Q81" i="2"/>
  <c r="R81" i="2"/>
  <c r="S81" i="2"/>
  <c r="T81" i="2"/>
  <c r="W81" i="2"/>
  <c r="X81" i="2"/>
  <c r="Y81" i="2" s="1"/>
  <c r="Z81" i="2"/>
  <c r="AJ81" i="2"/>
  <c r="AO81" i="2"/>
  <c r="AP81" i="2"/>
  <c r="AQ81" i="2"/>
  <c r="AS81" i="2"/>
  <c r="AT81" i="2"/>
  <c r="N82" i="2"/>
  <c r="Q82" i="2"/>
  <c r="R82" i="2"/>
  <c r="S82" i="2"/>
  <c r="T82" i="2"/>
  <c r="W82" i="2"/>
  <c r="X82" i="2"/>
  <c r="AJ82" i="2"/>
  <c r="AO82" i="2"/>
  <c r="AR87" i="2" s="1"/>
  <c r="AS82" i="2"/>
  <c r="AT82" i="2"/>
  <c r="N83" i="2"/>
  <c r="Q83" i="2"/>
  <c r="R83" i="2"/>
  <c r="S83" i="2"/>
  <c r="T83" i="2"/>
  <c r="W83" i="2"/>
  <c r="X83" i="2"/>
  <c r="Y83" i="2"/>
  <c r="Z83" i="2"/>
  <c r="AO83" i="2"/>
  <c r="AP83" i="2"/>
  <c r="AQ83" i="2"/>
  <c r="AS83" i="2"/>
  <c r="AT83" i="2"/>
  <c r="N84" i="2"/>
  <c r="Q84" i="2"/>
  <c r="R84" i="2"/>
  <c r="S84" i="2"/>
  <c r="T84" i="2"/>
  <c r="W84" i="2"/>
  <c r="X84" i="2"/>
  <c r="AO84" i="2"/>
  <c r="AQ84" i="2" s="1"/>
  <c r="AS84" i="2"/>
  <c r="AT84" i="2"/>
  <c r="N85" i="2"/>
  <c r="Q85" i="2"/>
  <c r="R85" i="2"/>
  <c r="S85" i="2"/>
  <c r="T85" i="2"/>
  <c r="W85" i="2"/>
  <c r="X85" i="2"/>
  <c r="Y85" i="2" s="1"/>
  <c r="Z85" i="2"/>
  <c r="AO85" i="2"/>
  <c r="AP85" i="2"/>
  <c r="AQ85" i="2"/>
  <c r="AS85" i="2"/>
  <c r="AT85" i="2"/>
  <c r="N86" i="2"/>
  <c r="Q86" i="2"/>
  <c r="R86" i="2"/>
  <c r="S86" i="2"/>
  <c r="T86" i="2"/>
  <c r="W86" i="2"/>
  <c r="X86" i="2"/>
  <c r="AJ86" i="2"/>
  <c r="AO86" i="2"/>
  <c r="AS86" i="2"/>
  <c r="AT86" i="2"/>
  <c r="N87" i="2"/>
  <c r="Q87" i="2"/>
  <c r="R87" i="2"/>
  <c r="S87" i="2"/>
  <c r="T87" i="2"/>
  <c r="W87" i="2"/>
  <c r="X87" i="2"/>
  <c r="Y87" i="2"/>
  <c r="Z87" i="2"/>
  <c r="AO87" i="2"/>
  <c r="AP87" i="2"/>
  <c r="AQ87" i="2"/>
  <c r="AS87" i="2"/>
  <c r="AT87" i="2"/>
  <c r="N88" i="2"/>
  <c r="Q88" i="2"/>
  <c r="R88" i="2"/>
  <c r="S88" i="2"/>
  <c r="T88" i="2"/>
  <c r="W88" i="2"/>
  <c r="X88" i="2"/>
  <c r="AO88" i="2"/>
  <c r="AQ88" i="2" s="1"/>
  <c r="AP88" i="2"/>
  <c r="AS88" i="2"/>
  <c r="AT88" i="2"/>
  <c r="N89" i="2"/>
  <c r="Q89" i="2"/>
  <c r="R89" i="2"/>
  <c r="S89" i="2"/>
  <c r="T89" i="2"/>
  <c r="W89" i="2"/>
  <c r="X89" i="2"/>
  <c r="Y89" i="2"/>
  <c r="Z89" i="2"/>
  <c r="AJ89" i="2"/>
  <c r="AO89" i="2"/>
  <c r="AP89" i="2"/>
  <c r="AQ89" i="2"/>
  <c r="AS89" i="2"/>
  <c r="AT89" i="2"/>
  <c r="N90" i="2"/>
  <c r="Q90" i="2"/>
  <c r="R90" i="2"/>
  <c r="S90" i="2"/>
  <c r="T90" i="2"/>
  <c r="W90" i="2"/>
  <c r="X90" i="2"/>
  <c r="AJ90" i="2"/>
  <c r="AO90" i="2"/>
  <c r="AQ90" i="2" s="1"/>
  <c r="AS90" i="2"/>
  <c r="AT90" i="2"/>
  <c r="N91" i="2"/>
  <c r="Q91" i="2"/>
  <c r="R91" i="2"/>
  <c r="S91" i="2"/>
  <c r="T91" i="2"/>
  <c r="W91" i="2"/>
  <c r="Y91" i="2" s="1"/>
  <c r="X91" i="2"/>
  <c r="AJ91" i="2"/>
  <c r="AO91" i="2"/>
  <c r="AR106" i="2" s="1"/>
  <c r="AQ91" i="2"/>
  <c r="AR91" i="2"/>
  <c r="AS91" i="2"/>
  <c r="AT91" i="2"/>
  <c r="N92" i="2"/>
  <c r="Q92" i="2"/>
  <c r="R92" i="2"/>
  <c r="S92" i="2"/>
  <c r="T92" i="2"/>
  <c r="W92" i="2"/>
  <c r="X92" i="2"/>
  <c r="AO92" i="2"/>
  <c r="AQ92" i="2" s="1"/>
  <c r="AP92" i="2"/>
  <c r="AS92" i="2"/>
  <c r="AT92" i="2"/>
  <c r="N93" i="2"/>
  <c r="Q93" i="2"/>
  <c r="R93" i="2"/>
  <c r="S93" i="2"/>
  <c r="T93" i="2"/>
  <c r="W93" i="2"/>
  <c r="X93" i="2"/>
  <c r="Y93" i="2"/>
  <c r="Z93" i="2"/>
  <c r="AO93" i="2"/>
  <c r="AP93" i="2" s="1"/>
  <c r="AQ93" i="2"/>
  <c r="AS93" i="2"/>
  <c r="AT93" i="2"/>
  <c r="N94" i="2"/>
  <c r="Q94" i="2"/>
  <c r="R94" i="2"/>
  <c r="S94" i="2"/>
  <c r="T94" i="2"/>
  <c r="W94" i="2"/>
  <c r="X94" i="2"/>
  <c r="Z94" i="2"/>
  <c r="AO94" i="2"/>
  <c r="AQ94" i="2" s="1"/>
  <c r="AP94" i="2"/>
  <c r="AS94" i="2"/>
  <c r="AT94" i="2"/>
  <c r="N95" i="2"/>
  <c r="Q95" i="2"/>
  <c r="R95" i="2"/>
  <c r="S95" i="2"/>
  <c r="T95" i="2"/>
  <c r="W95" i="2"/>
  <c r="Y95" i="2" s="1"/>
  <c r="X95" i="2"/>
  <c r="AJ95" i="2"/>
  <c r="AO95" i="2"/>
  <c r="AP95" i="2"/>
  <c r="AQ95" i="2"/>
  <c r="AS95" i="2"/>
  <c r="AT95" i="2"/>
  <c r="N96" i="2"/>
  <c r="Q96" i="2"/>
  <c r="R96" i="2"/>
  <c r="S96" i="2"/>
  <c r="T96" i="2"/>
  <c r="W96" i="2"/>
  <c r="X96" i="2"/>
  <c r="AO96" i="2"/>
  <c r="AQ96" i="2" s="1"/>
  <c r="AP96" i="2"/>
  <c r="AS96" i="2"/>
  <c r="AT96" i="2"/>
  <c r="N97" i="2"/>
  <c r="Q97" i="2"/>
  <c r="R97" i="2"/>
  <c r="S97" i="2"/>
  <c r="T97" i="2"/>
  <c r="W97" i="2"/>
  <c r="X97" i="2"/>
  <c r="Z97" i="2"/>
  <c r="AO97" i="2"/>
  <c r="AP97" i="2"/>
  <c r="AQ97" i="2"/>
  <c r="AR97" i="2"/>
  <c r="AS97" i="2"/>
  <c r="AT97" i="2"/>
  <c r="N98" i="2"/>
  <c r="Q98" i="2"/>
  <c r="R98" i="2"/>
  <c r="S98" i="2"/>
  <c r="T98" i="2"/>
  <c r="W98" i="2"/>
  <c r="Y98" i="2" s="1"/>
  <c r="X98" i="2"/>
  <c r="AJ98" i="2"/>
  <c r="AO98" i="2"/>
  <c r="AQ98" i="2" s="1"/>
  <c r="AR98" i="2"/>
  <c r="AS98" i="2"/>
  <c r="AT98" i="2"/>
  <c r="N99" i="2"/>
  <c r="Q99" i="2"/>
  <c r="R99" i="2"/>
  <c r="S99" i="2"/>
  <c r="T99" i="2"/>
  <c r="W99" i="2"/>
  <c r="X99" i="2"/>
  <c r="Y99" i="2"/>
  <c r="Z99" i="2"/>
  <c r="AO99" i="2"/>
  <c r="AQ99" i="2" s="1"/>
  <c r="AP99" i="2"/>
  <c r="AS99" i="2"/>
  <c r="AT99" i="2"/>
  <c r="N100" i="2"/>
  <c r="Q100" i="2"/>
  <c r="R100" i="2"/>
  <c r="S100" i="2"/>
  <c r="T100" i="2"/>
  <c r="W100" i="2"/>
  <c r="Y100" i="2" s="1"/>
  <c r="X100" i="2"/>
  <c r="Z100" i="2"/>
  <c r="AJ100" i="2"/>
  <c r="AO100" i="2"/>
  <c r="AQ100" i="2" s="1"/>
  <c r="AR100" i="2"/>
  <c r="AS100" i="2"/>
  <c r="AT100" i="2"/>
  <c r="N101" i="2"/>
  <c r="Q101" i="2"/>
  <c r="R101" i="2"/>
  <c r="S101" i="2"/>
  <c r="T101" i="2"/>
  <c r="W101" i="2"/>
  <c r="X101" i="2"/>
  <c r="Y101" i="2"/>
  <c r="Z101" i="2"/>
  <c r="AO101" i="2"/>
  <c r="AP101" i="2"/>
  <c r="AR101" i="2"/>
  <c r="AS101" i="2"/>
  <c r="AT101" i="2"/>
  <c r="N102" i="2"/>
  <c r="Q102" i="2"/>
  <c r="R102" i="2"/>
  <c r="S102" i="2"/>
  <c r="T102" i="2"/>
  <c r="W102" i="2"/>
  <c r="Y102" i="2" s="1"/>
  <c r="X102" i="2"/>
  <c r="AO102" i="2"/>
  <c r="AQ102" i="2" s="1"/>
  <c r="AP102" i="2"/>
  <c r="AS102" i="2"/>
  <c r="AT102" i="2"/>
  <c r="N103" i="2"/>
  <c r="Q103" i="2"/>
  <c r="R103" i="2"/>
  <c r="S103" i="2"/>
  <c r="T103" i="2"/>
  <c r="W103" i="2"/>
  <c r="X103" i="2"/>
  <c r="Y103" i="2" s="1"/>
  <c r="AO103" i="2"/>
  <c r="AQ103" i="2"/>
  <c r="AR103" i="2"/>
  <c r="AS103" i="2"/>
  <c r="AT103" i="2"/>
  <c r="N104" i="2"/>
  <c r="Q104" i="2"/>
  <c r="R104" i="2"/>
  <c r="S104" i="2"/>
  <c r="T104" i="2"/>
  <c r="W104" i="2"/>
  <c r="X104" i="2"/>
  <c r="AO104" i="2"/>
  <c r="AQ104" i="2" s="1"/>
  <c r="AP104" i="2"/>
  <c r="AS104" i="2"/>
  <c r="AT104" i="2"/>
  <c r="N105" i="2"/>
  <c r="Q105" i="2"/>
  <c r="R105" i="2"/>
  <c r="S105" i="2"/>
  <c r="T105" i="2"/>
  <c r="W105" i="2"/>
  <c r="X105" i="2"/>
  <c r="Y105" i="2" s="1"/>
  <c r="Z105" i="2"/>
  <c r="AO105" i="2"/>
  <c r="AP105" i="2" s="1"/>
  <c r="AQ105" i="2"/>
  <c r="AR105" i="2"/>
  <c r="AS105" i="2"/>
  <c r="AT105" i="2"/>
  <c r="N106" i="2"/>
  <c r="Q106" i="2"/>
  <c r="R106" i="2"/>
  <c r="S106" i="2"/>
  <c r="T106" i="2"/>
  <c r="W106" i="2"/>
  <c r="X106" i="2"/>
  <c r="Z106" i="2"/>
  <c r="AO106" i="2"/>
  <c r="AQ106" i="2" s="1"/>
  <c r="AP106" i="2"/>
  <c r="AS106" i="2"/>
  <c r="AT106" i="2"/>
  <c r="N107" i="2"/>
  <c r="Q107" i="2"/>
  <c r="R107" i="2"/>
  <c r="S107" i="2"/>
  <c r="T107" i="2"/>
  <c r="W107" i="2"/>
  <c r="Y107" i="2" s="1"/>
  <c r="X107" i="2"/>
  <c r="Z107" i="2"/>
  <c r="AJ107" i="2"/>
  <c r="AO107" i="2"/>
  <c r="AP107" i="2"/>
  <c r="AQ107" i="2"/>
  <c r="AS107" i="2"/>
  <c r="AT107" i="2"/>
  <c r="N108" i="2"/>
  <c r="Q108" i="2"/>
  <c r="R108" i="2"/>
  <c r="S108" i="2"/>
  <c r="T108" i="2"/>
  <c r="W108" i="2"/>
  <c r="X108" i="2"/>
  <c r="Z108" i="2"/>
  <c r="AO108" i="2"/>
  <c r="AQ108" i="2" s="1"/>
  <c r="AP108" i="2"/>
  <c r="AS108" i="2"/>
  <c r="AT108" i="2"/>
  <c r="N109" i="2"/>
  <c r="Q109" i="2"/>
  <c r="R109" i="2"/>
  <c r="S109" i="2"/>
  <c r="T109" i="2"/>
  <c r="W109" i="2"/>
  <c r="X109" i="2"/>
  <c r="AO109" i="2"/>
  <c r="AS109" i="2"/>
  <c r="AT109" i="2"/>
  <c r="N110" i="2"/>
  <c r="Q110" i="2"/>
  <c r="R110" i="2"/>
  <c r="S110" i="2"/>
  <c r="T110" i="2"/>
  <c r="W110" i="2"/>
  <c r="X110" i="2"/>
  <c r="Y110" i="2"/>
  <c r="Z110" i="2"/>
  <c r="AO110" i="2"/>
  <c r="AP110" i="2"/>
  <c r="AQ110" i="2"/>
  <c r="AR110" i="2"/>
  <c r="AS110" i="2"/>
  <c r="AT110" i="2"/>
  <c r="N111" i="2"/>
  <c r="Q111" i="2"/>
  <c r="R111" i="2"/>
  <c r="S111" i="2"/>
  <c r="T111" i="2"/>
  <c r="W111" i="2"/>
  <c r="X111" i="2"/>
  <c r="AO111" i="2"/>
  <c r="AR121" i="2" s="1"/>
  <c r="AS111" i="2"/>
  <c r="AT111" i="2"/>
  <c r="N112" i="2"/>
  <c r="Q112" i="2"/>
  <c r="R112" i="2"/>
  <c r="S112" i="2"/>
  <c r="T112" i="2"/>
  <c r="W112" i="2"/>
  <c r="X112" i="2"/>
  <c r="Y112" i="2" s="1"/>
  <c r="Z112" i="2"/>
  <c r="AJ112" i="2"/>
  <c r="AO112" i="2"/>
  <c r="AP112" i="2" s="1"/>
  <c r="AQ112" i="2"/>
  <c r="AS112" i="2"/>
  <c r="AT112" i="2"/>
  <c r="N113" i="2"/>
  <c r="Q113" i="2"/>
  <c r="R113" i="2"/>
  <c r="S113" i="2"/>
  <c r="T113" i="2"/>
  <c r="W113" i="2"/>
  <c r="X113" i="2"/>
  <c r="AO113" i="2"/>
  <c r="AS113" i="2"/>
  <c r="AT113" i="2"/>
  <c r="N114" i="2"/>
  <c r="Q114" i="2"/>
  <c r="R114" i="2"/>
  <c r="S114" i="2"/>
  <c r="T114" i="2"/>
  <c r="W114" i="2"/>
  <c r="X114" i="2"/>
  <c r="Y114" i="2"/>
  <c r="Z114" i="2"/>
  <c r="AO114" i="2"/>
  <c r="AP114" i="2"/>
  <c r="AQ114" i="2"/>
  <c r="AS114" i="2"/>
  <c r="AT114" i="2"/>
  <c r="N115" i="2"/>
  <c r="Q115" i="2"/>
  <c r="R115" i="2"/>
  <c r="S115" i="2"/>
  <c r="T115" i="2"/>
  <c r="W115" i="2"/>
  <c r="X115" i="2"/>
  <c r="AO115" i="2"/>
  <c r="AS115" i="2"/>
  <c r="AT115" i="2"/>
  <c r="N116" i="2"/>
  <c r="Q116" i="2"/>
  <c r="R116" i="2"/>
  <c r="S116" i="2"/>
  <c r="T116" i="2"/>
  <c r="W116" i="2"/>
  <c r="X116" i="2"/>
  <c r="Y116" i="2" s="1"/>
  <c r="Z116" i="2"/>
  <c r="AJ116" i="2"/>
  <c r="AO116" i="2"/>
  <c r="AP116" i="2" s="1"/>
  <c r="AQ116" i="2"/>
  <c r="AR116" i="2"/>
  <c r="AS116" i="2"/>
  <c r="AT116" i="2"/>
  <c r="N117" i="2"/>
  <c r="Q117" i="2"/>
  <c r="R117" i="2"/>
  <c r="S117" i="2"/>
  <c r="T117" i="2"/>
  <c r="W117" i="2"/>
  <c r="Z117" i="2" s="1"/>
  <c r="X117" i="2"/>
  <c r="Y117" i="2"/>
  <c r="AO117" i="2"/>
  <c r="AS117" i="2"/>
  <c r="AT117" i="2"/>
  <c r="N118" i="2"/>
  <c r="Q118" i="2"/>
  <c r="R118" i="2"/>
  <c r="S118" i="2"/>
  <c r="T118" i="2"/>
  <c r="W118" i="2"/>
  <c r="X118" i="2"/>
  <c r="AO118" i="2"/>
  <c r="AP118" i="2"/>
  <c r="AQ118" i="2"/>
  <c r="AS118" i="2"/>
  <c r="AT118" i="2"/>
  <c r="N119" i="2"/>
  <c r="Q119" i="2"/>
  <c r="R119" i="2"/>
  <c r="S119" i="2"/>
  <c r="T119" i="2"/>
  <c r="W119" i="2"/>
  <c r="X119" i="2"/>
  <c r="Z119" i="2"/>
  <c r="AJ119" i="2"/>
  <c r="AO119" i="2"/>
  <c r="AP119" i="2" s="1"/>
  <c r="AQ119" i="2"/>
  <c r="AS119" i="2"/>
  <c r="AT119" i="2"/>
  <c r="N120" i="2"/>
  <c r="Q120" i="2"/>
  <c r="R120" i="2"/>
  <c r="S120" i="2"/>
  <c r="T120" i="2"/>
  <c r="W120" i="2"/>
  <c r="X120" i="2"/>
  <c r="Y120" i="2" s="1"/>
  <c r="Z120" i="2"/>
  <c r="AO120" i="2"/>
  <c r="AP120" i="2" s="1"/>
  <c r="AS120" i="2"/>
  <c r="AT120" i="2"/>
  <c r="N121" i="2"/>
  <c r="Q121" i="2"/>
  <c r="R121" i="2"/>
  <c r="S121" i="2"/>
  <c r="T121" i="2"/>
  <c r="W121" i="2"/>
  <c r="Z121" i="2" s="1"/>
  <c r="X121" i="2"/>
  <c r="AO121" i="2"/>
  <c r="AQ121" i="2" s="1"/>
  <c r="AP121" i="2"/>
  <c r="AS121" i="2"/>
  <c r="AT121" i="2"/>
  <c r="N122" i="2"/>
  <c r="Q122" i="2"/>
  <c r="R122" i="2"/>
  <c r="S122" i="2"/>
  <c r="T122" i="2"/>
  <c r="W122" i="2"/>
  <c r="Y122" i="2" s="1"/>
  <c r="X122" i="2"/>
  <c r="Z122" i="2"/>
  <c r="AO122" i="2"/>
  <c r="AP122" i="2"/>
  <c r="AQ122" i="2"/>
  <c r="AS122" i="2"/>
  <c r="AT122" i="2"/>
  <c r="N123" i="2"/>
  <c r="Q123" i="2"/>
  <c r="R123" i="2"/>
  <c r="S123" i="2"/>
  <c r="T123" i="2"/>
  <c r="W123" i="2"/>
  <c r="X123" i="2"/>
  <c r="Z123" i="2"/>
  <c r="AO123" i="2"/>
  <c r="AP123" i="2" s="1"/>
  <c r="AS123" i="2"/>
  <c r="AT123" i="2"/>
  <c r="N124" i="2"/>
  <c r="Q124" i="2"/>
  <c r="R124" i="2"/>
  <c r="S124" i="2"/>
  <c r="T124" i="2"/>
  <c r="W124" i="2"/>
  <c r="X124" i="2"/>
  <c r="Y124" i="2" s="1"/>
  <c r="AJ124" i="2"/>
  <c r="AO124" i="2"/>
  <c r="AP124" i="2" s="1"/>
  <c r="AQ124" i="2"/>
  <c r="AS124" i="2"/>
  <c r="AT124" i="2"/>
  <c r="N125" i="2"/>
  <c r="Q125" i="2"/>
  <c r="R125" i="2"/>
  <c r="S125" i="2"/>
  <c r="T125" i="2"/>
  <c r="W125" i="2"/>
  <c r="Y125" i="2" s="1"/>
  <c r="X125" i="2"/>
  <c r="AJ125" i="2"/>
  <c r="AO125" i="2"/>
  <c r="AQ125" i="2" s="1"/>
  <c r="AS125" i="2"/>
  <c r="AT125" i="2"/>
  <c r="N126" i="2"/>
  <c r="Q126" i="2"/>
  <c r="R126" i="2"/>
  <c r="S126" i="2"/>
  <c r="T126" i="2"/>
  <c r="W126" i="2"/>
  <c r="Z126" i="2" s="1"/>
  <c r="X126" i="2"/>
  <c r="Y126" i="2"/>
  <c r="AO126" i="2"/>
  <c r="AP126" i="2"/>
  <c r="AQ126" i="2"/>
  <c r="AR126" i="2"/>
  <c r="AS126" i="2"/>
  <c r="AT126" i="2"/>
  <c r="N127" i="2"/>
  <c r="Q127" i="2"/>
  <c r="R127" i="2"/>
  <c r="S127" i="2"/>
  <c r="T127" i="2"/>
  <c r="W127" i="2"/>
  <c r="X127" i="2"/>
  <c r="Y127" i="2" s="1"/>
  <c r="AJ127" i="2"/>
  <c r="AO127" i="2"/>
  <c r="AP127" i="2" s="1"/>
  <c r="AQ127" i="2"/>
  <c r="AS127" i="2"/>
  <c r="AT127" i="2"/>
  <c r="N128" i="2"/>
  <c r="Q128" i="2"/>
  <c r="R128" i="2"/>
  <c r="S128" i="2"/>
  <c r="T128" i="2"/>
  <c r="W128" i="2"/>
  <c r="X128" i="2"/>
  <c r="Y128" i="2" s="1"/>
  <c r="AJ128" i="2"/>
  <c r="AO128" i="2"/>
  <c r="Z128" i="2" s="1"/>
  <c r="AP128" i="2"/>
  <c r="AS128" i="2"/>
  <c r="AT128" i="2"/>
  <c r="N129" i="2"/>
  <c r="Q129" i="2"/>
  <c r="R129" i="2"/>
  <c r="S129" i="2"/>
  <c r="T129" i="2"/>
  <c r="W129" i="2"/>
  <c r="Z129" i="2" s="1"/>
  <c r="X129" i="2"/>
  <c r="AJ129" i="2"/>
  <c r="AO129" i="2"/>
  <c r="AP129" i="2"/>
  <c r="AQ129" i="2"/>
  <c r="AS129" i="2"/>
  <c r="AT129" i="2"/>
  <c r="N130" i="2"/>
  <c r="Q130" i="2"/>
  <c r="R130" i="2"/>
  <c r="S130" i="2"/>
  <c r="T130" i="2"/>
  <c r="W130" i="2"/>
  <c r="X130" i="2"/>
  <c r="Y130" i="2" s="1"/>
  <c r="Z130" i="2"/>
  <c r="AO130" i="2"/>
  <c r="AP130" i="2"/>
  <c r="AQ130" i="2"/>
  <c r="AR130" i="2"/>
  <c r="AS130" i="2"/>
  <c r="AT130" i="2"/>
  <c r="N131" i="2"/>
  <c r="Q131" i="2"/>
  <c r="R131" i="2"/>
  <c r="S131" i="2"/>
  <c r="T131" i="2"/>
  <c r="W131" i="2"/>
  <c r="Y131" i="2" s="1"/>
  <c r="X131" i="2"/>
  <c r="AO131" i="2"/>
  <c r="AP131" i="2" s="1"/>
  <c r="AQ131" i="2"/>
  <c r="AS131" i="2"/>
  <c r="AT131" i="2"/>
  <c r="N132" i="2"/>
  <c r="Q132" i="2"/>
  <c r="R132" i="2"/>
  <c r="S132" i="2"/>
  <c r="T132" i="2"/>
  <c r="W132" i="2"/>
  <c r="X132" i="2"/>
  <c r="Y132" i="2"/>
  <c r="AO132" i="2"/>
  <c r="AR132" i="2"/>
  <c r="AS132" i="2"/>
  <c r="AT132" i="2"/>
  <c r="N133" i="2"/>
  <c r="Q133" i="2"/>
  <c r="R133" i="2"/>
  <c r="S133" i="2"/>
  <c r="T133" i="2"/>
  <c r="W133" i="2"/>
  <c r="Z133" i="2" s="1"/>
  <c r="X133" i="2"/>
  <c r="AO133" i="2"/>
  <c r="AQ133" i="2" s="1"/>
  <c r="AP133" i="2"/>
  <c r="AS133" i="2"/>
  <c r="AT133" i="2"/>
  <c r="N134" i="2"/>
  <c r="Q134" i="2"/>
  <c r="R134" i="2"/>
  <c r="S134" i="2"/>
  <c r="T134" i="2"/>
  <c r="W134" i="2"/>
  <c r="Y134" i="2" s="1"/>
  <c r="X134" i="2"/>
  <c r="AO134" i="2"/>
  <c r="AR144" i="2" s="1"/>
  <c r="AR134" i="2"/>
  <c r="AS134" i="2"/>
  <c r="AT134" i="2"/>
  <c r="N135" i="2"/>
  <c r="Q135" i="2"/>
  <c r="R135" i="2"/>
  <c r="S135" i="2"/>
  <c r="T135" i="2"/>
  <c r="W135" i="2"/>
  <c r="Z135" i="2" s="1"/>
  <c r="X135" i="2"/>
  <c r="AO135" i="2"/>
  <c r="AP135" i="2" s="1"/>
  <c r="AQ135" i="2"/>
  <c r="AR135" i="2"/>
  <c r="AS135" i="2"/>
  <c r="AT135" i="2"/>
  <c r="N136" i="2"/>
  <c r="Q136" i="2"/>
  <c r="AC136" i="2" s="1"/>
  <c r="R136" i="2"/>
  <c r="S136" i="2"/>
  <c r="T136" i="2"/>
  <c r="W136" i="2"/>
  <c r="Y136" i="2" s="1"/>
  <c r="X136" i="2"/>
  <c r="Z136" i="2"/>
  <c r="AJ136" i="2"/>
  <c r="AO136" i="2"/>
  <c r="AP136" i="2"/>
  <c r="AQ136" i="2"/>
  <c r="AR136" i="2"/>
  <c r="AS136" i="2"/>
  <c r="AT136" i="2"/>
  <c r="N137" i="2"/>
  <c r="Q137" i="2"/>
  <c r="R137" i="2"/>
  <c r="S137" i="2"/>
  <c r="T137" i="2"/>
  <c r="W137" i="2"/>
  <c r="X137" i="2"/>
  <c r="AI137" i="2"/>
  <c r="AO137" i="2"/>
  <c r="AP137" i="2" s="1"/>
  <c r="AR137" i="2"/>
  <c r="AS137" i="2"/>
  <c r="AT137" i="2"/>
  <c r="N138" i="2"/>
  <c r="Q138" i="2"/>
  <c r="R138" i="2"/>
  <c r="S138" i="2"/>
  <c r="T138" i="2"/>
  <c r="W138" i="2"/>
  <c r="X138" i="2"/>
  <c r="Y138" i="2"/>
  <c r="Z138" i="2"/>
  <c r="AO138" i="2"/>
  <c r="AR138" i="2"/>
  <c r="AS138" i="2"/>
  <c r="AT138" i="2"/>
  <c r="N139" i="2"/>
  <c r="Q139" i="2"/>
  <c r="R139" i="2"/>
  <c r="S139" i="2"/>
  <c r="T139" i="2"/>
  <c r="W139" i="2"/>
  <c r="X139" i="2"/>
  <c r="Y139" i="2"/>
  <c r="AO139" i="2"/>
  <c r="AQ139" i="2" s="1"/>
  <c r="AS139" i="2"/>
  <c r="AT139" i="2"/>
  <c r="N140" i="2"/>
  <c r="Q140" i="2"/>
  <c r="R140" i="2"/>
  <c r="S140" i="2"/>
  <c r="T140" i="2"/>
  <c r="W140" i="2"/>
  <c r="Y140" i="2" s="1"/>
  <c r="X140" i="2"/>
  <c r="AF140" i="2"/>
  <c r="AO140" i="2"/>
  <c r="AQ140" i="2" s="1"/>
  <c r="AP140" i="2"/>
  <c r="AS140" i="2"/>
  <c r="AT140" i="2"/>
  <c r="N141" i="2"/>
  <c r="Q141" i="2"/>
  <c r="R141" i="2"/>
  <c r="S141" i="2"/>
  <c r="T141" i="2"/>
  <c r="W141" i="2"/>
  <c r="X141" i="2"/>
  <c r="Y141" i="2"/>
  <c r="Z141" i="2"/>
  <c r="AC141" i="2"/>
  <c r="AJ141" i="2"/>
  <c r="AO141" i="2"/>
  <c r="AP141" i="2" s="1"/>
  <c r="AS141" i="2"/>
  <c r="AT141" i="2"/>
  <c r="N142" i="2"/>
  <c r="Q142" i="2"/>
  <c r="R142" i="2"/>
  <c r="S142" i="2"/>
  <c r="T142" i="2"/>
  <c r="W142" i="2"/>
  <c r="X142" i="2"/>
  <c r="Y142" i="2"/>
  <c r="AJ142" i="2"/>
  <c r="AO142" i="2"/>
  <c r="AS142" i="2"/>
  <c r="AT142" i="2"/>
  <c r="N143" i="2"/>
  <c r="Q143" i="2"/>
  <c r="R143" i="2"/>
  <c r="S143" i="2"/>
  <c r="T143" i="2"/>
  <c r="W143" i="2"/>
  <c r="Y143" i="2" s="1"/>
  <c r="X143" i="2"/>
  <c r="AO143" i="2"/>
  <c r="AP143" i="2"/>
  <c r="AQ143" i="2"/>
  <c r="AS143" i="2"/>
  <c r="AT143" i="2"/>
  <c r="N144" i="2"/>
  <c r="Q144" i="2"/>
  <c r="R144" i="2"/>
  <c r="S144" i="2"/>
  <c r="T144" i="2"/>
  <c r="W144" i="2"/>
  <c r="Y144" i="2" s="1"/>
  <c r="X144" i="2"/>
  <c r="AO144" i="2"/>
  <c r="AP144" i="2"/>
  <c r="AQ144" i="2"/>
  <c r="AS144" i="2"/>
  <c r="AT144" i="2"/>
  <c r="N145" i="2"/>
  <c r="Q145" i="2"/>
  <c r="R145" i="2"/>
  <c r="S145" i="2"/>
  <c r="T145" i="2"/>
  <c r="W145" i="2"/>
  <c r="Y145" i="2" s="1"/>
  <c r="X145" i="2"/>
  <c r="Z145" i="2"/>
  <c r="AO145" i="2"/>
  <c r="AP145" i="2" s="1"/>
  <c r="AQ145" i="2"/>
  <c r="AS145" i="2"/>
  <c r="AT145" i="2"/>
  <c r="N146" i="2"/>
  <c r="Q146" i="2"/>
  <c r="R146" i="2"/>
  <c r="S146" i="2"/>
  <c r="T146" i="2"/>
  <c r="W146" i="2"/>
  <c r="Y146" i="2" s="1"/>
  <c r="X146" i="2"/>
  <c r="AO146" i="2"/>
  <c r="AS146" i="2"/>
  <c r="AT146" i="2"/>
  <c r="N147" i="2"/>
  <c r="Q147" i="2"/>
  <c r="R147" i="2"/>
  <c r="S147" i="2"/>
  <c r="T147" i="2"/>
  <c r="W147" i="2"/>
  <c r="X147" i="2"/>
  <c r="Y147" i="2"/>
  <c r="Z147" i="2"/>
  <c r="AO147" i="2"/>
  <c r="AQ147" i="2" s="1"/>
  <c r="AP147" i="2"/>
  <c r="AS147" i="2"/>
  <c r="AT147" i="2"/>
  <c r="N148" i="2"/>
  <c r="Q148" i="2"/>
  <c r="AF148" i="2" s="1"/>
  <c r="R148" i="2"/>
  <c r="S148" i="2"/>
  <c r="T148" i="2"/>
  <c r="W148" i="2"/>
  <c r="Y148" i="2" s="1"/>
  <c r="X148" i="2"/>
  <c r="AC148" i="2"/>
  <c r="AO148" i="2"/>
  <c r="AR148" i="2"/>
  <c r="AS148" i="2"/>
  <c r="AT148" i="2"/>
  <c r="N149" i="2"/>
  <c r="Q149" i="2"/>
  <c r="AC149" i="2" s="1"/>
  <c r="R149" i="2"/>
  <c r="S149" i="2"/>
  <c r="T149" i="2"/>
  <c r="W149" i="2"/>
  <c r="Z149" i="2" s="1"/>
  <c r="X149" i="2"/>
  <c r="AJ149" i="2"/>
  <c r="AO149" i="2"/>
  <c r="AP149" i="2" s="1"/>
  <c r="AS149" i="2"/>
  <c r="AT149" i="2"/>
  <c r="N150" i="2"/>
  <c r="Q150" i="2"/>
  <c r="R150" i="2"/>
  <c r="S150" i="2"/>
  <c r="T150" i="2"/>
  <c r="W150" i="2"/>
  <c r="X150" i="2"/>
  <c r="Y150" i="2"/>
  <c r="Z150" i="2"/>
  <c r="AJ150" i="2"/>
  <c r="AO150" i="2"/>
  <c r="AR150" i="2"/>
  <c r="AS150" i="2"/>
  <c r="AT150" i="2"/>
  <c r="N151" i="2"/>
  <c r="Q151" i="2"/>
  <c r="R151" i="2"/>
  <c r="S151" i="2"/>
  <c r="T151" i="2"/>
  <c r="W151" i="2"/>
  <c r="Z151" i="2" s="1"/>
  <c r="X151" i="2"/>
  <c r="Y151" i="2"/>
  <c r="AO151" i="2"/>
  <c r="AQ151" i="2" s="1"/>
  <c r="AP151" i="2"/>
  <c r="AS151" i="2"/>
  <c r="AT151" i="2"/>
  <c r="N152" i="2"/>
  <c r="Q152" i="2"/>
  <c r="AF152" i="2" s="1"/>
  <c r="R152" i="2"/>
  <c r="S152" i="2"/>
  <c r="T152" i="2"/>
  <c r="W152" i="2"/>
  <c r="Z152" i="2" s="1"/>
  <c r="X152" i="2"/>
  <c r="AO152" i="2"/>
  <c r="AP152" i="2" s="1"/>
  <c r="AQ152" i="2"/>
  <c r="AR152" i="2"/>
  <c r="AS152" i="2"/>
  <c r="AT152" i="2"/>
  <c r="N153" i="2"/>
  <c r="Q153" i="2"/>
  <c r="R153" i="2"/>
  <c r="S153" i="2"/>
  <c r="T153" i="2"/>
  <c r="W153" i="2"/>
  <c r="Y153" i="2" s="1"/>
  <c r="X153" i="2"/>
  <c r="AF153" i="2"/>
  <c r="AO153" i="2"/>
  <c r="AP153" i="2" s="1"/>
  <c r="AQ153" i="2"/>
  <c r="AS153" i="2"/>
  <c r="AT153" i="2"/>
  <c r="N154" i="2"/>
  <c r="Q154" i="2"/>
  <c r="AC154" i="2" s="1"/>
  <c r="R154" i="2"/>
  <c r="S154" i="2"/>
  <c r="T154" i="2"/>
  <c r="W154" i="2"/>
  <c r="Y154" i="2" s="1"/>
  <c r="X154" i="2"/>
  <c r="Z154" i="2"/>
  <c r="AJ154" i="2"/>
  <c r="AO154" i="2"/>
  <c r="AP154" i="2" s="1"/>
  <c r="AS154" i="2"/>
  <c r="AT154" i="2"/>
  <c r="N155" i="2"/>
  <c r="Q155" i="2"/>
  <c r="AE155" i="2" s="1"/>
  <c r="U155" i="2" s="1"/>
  <c r="V155" i="2" s="1"/>
  <c r="AK155" i="2" s="1"/>
  <c r="R155" i="2"/>
  <c r="S155" i="2"/>
  <c r="T155" i="2"/>
  <c r="W155" i="2"/>
  <c r="X155" i="2"/>
  <c r="Y155" i="2"/>
  <c r="AO155" i="2"/>
  <c r="AP155" i="2" s="1"/>
  <c r="AR155" i="2"/>
  <c r="AS155" i="2"/>
  <c r="AT155" i="2"/>
  <c r="N156" i="2"/>
  <c r="Q156" i="2"/>
  <c r="R156" i="2"/>
  <c r="S156" i="2"/>
  <c r="T156" i="2"/>
  <c r="W156" i="2"/>
  <c r="Y156" i="2" s="1"/>
  <c r="X156" i="2"/>
  <c r="AO156" i="2"/>
  <c r="Z156" i="2" s="1"/>
  <c r="AS156" i="2"/>
  <c r="AT156" i="2"/>
  <c r="N157" i="2"/>
  <c r="Q157" i="2"/>
  <c r="AF157" i="2" s="1"/>
  <c r="R157" i="2"/>
  <c r="S157" i="2"/>
  <c r="T157" i="2"/>
  <c r="W157" i="2"/>
  <c r="X157" i="2"/>
  <c r="Y157" i="2"/>
  <c r="Z157" i="2"/>
  <c r="AI157" i="2"/>
  <c r="AO157" i="2"/>
  <c r="AP157" i="2" s="1"/>
  <c r="AS157" i="2"/>
  <c r="AT157" i="2"/>
  <c r="AT4" i="2"/>
  <c r="AS4" i="2"/>
  <c r="AO4" i="2"/>
  <c r="Z4" i="2"/>
  <c r="Y4" i="2"/>
  <c r="X4" i="2"/>
  <c r="W4" i="2"/>
  <c r="T4" i="2"/>
  <c r="S4" i="2"/>
  <c r="R4" i="2"/>
  <c r="Q4" i="2"/>
  <c r="N4" i="2"/>
  <c r="AR4" i="2"/>
  <c r="AJ4" i="2"/>
  <c r="AI156" i="2" l="1"/>
  <c r="AD160" i="2"/>
  <c r="AE159" i="2"/>
  <c r="U159" i="2" s="1"/>
  <c r="V159" i="2" s="1"/>
  <c r="AK159" i="2" s="1"/>
  <c r="P159" i="2"/>
  <c r="AJ135" i="2"/>
  <c r="AJ123" i="2"/>
  <c r="AH20" i="2"/>
  <c r="AG23" i="2"/>
  <c r="AG11" i="2"/>
  <c r="AJ15" i="2"/>
  <c r="AJ13" i="2"/>
  <c r="AH19" i="2"/>
  <c r="AI19" i="2" s="1"/>
  <c r="AG22" i="2"/>
  <c r="AG10" i="2"/>
  <c r="AJ121" i="2"/>
  <c r="AJ85" i="2"/>
  <c r="AH18" i="2"/>
  <c r="AG21" i="2"/>
  <c r="AG9" i="2"/>
  <c r="AH17" i="2"/>
  <c r="AG20" i="2"/>
  <c r="AJ157" i="2"/>
  <c r="AH16" i="2"/>
  <c r="AI16" i="2" s="1"/>
  <c r="AG19" i="2"/>
  <c r="AJ145" i="2"/>
  <c r="AJ99" i="2"/>
  <c r="AH27" i="2"/>
  <c r="AH15" i="2"/>
  <c r="AG18" i="2"/>
  <c r="AE135" i="2"/>
  <c r="U135" i="2" s="1"/>
  <c r="V135" i="2" s="1"/>
  <c r="AK135" i="2" s="1"/>
  <c r="AD159" i="2"/>
  <c r="AH159" i="2"/>
  <c r="AH147" i="2"/>
  <c r="AH135" i="2"/>
  <c r="AI135" i="2" s="1"/>
  <c r="AH123" i="2"/>
  <c r="AI123" i="2" s="1"/>
  <c r="AH111" i="2"/>
  <c r="AH99" i="2"/>
  <c r="AH87" i="2"/>
  <c r="AH75" i="2"/>
  <c r="AH63" i="2"/>
  <c r="AH51" i="2"/>
  <c r="AH39" i="2"/>
  <c r="AH26" i="2"/>
  <c r="AH14" i="2"/>
  <c r="AG17" i="2"/>
  <c r="AH25" i="2"/>
  <c r="AI25" i="2" s="1"/>
  <c r="AH13" i="2"/>
  <c r="AI13" i="2" s="1"/>
  <c r="AG16" i="2"/>
  <c r="AJ75" i="2"/>
  <c r="AJ37" i="2"/>
  <c r="AH24" i="2"/>
  <c r="AH12" i="2"/>
  <c r="AG27" i="2"/>
  <c r="AG15" i="2"/>
  <c r="AJ97" i="2"/>
  <c r="AJ25" i="2"/>
  <c r="AH23" i="2"/>
  <c r="AI23" i="2" s="1"/>
  <c r="AH11" i="2"/>
  <c r="AI11" i="2" s="1"/>
  <c r="AG26" i="2"/>
  <c r="AG14" i="2"/>
  <c r="AA27" i="2"/>
  <c r="P27" i="2" s="1"/>
  <c r="AH22" i="2"/>
  <c r="AH10" i="2"/>
  <c r="AG25" i="2"/>
  <c r="AA158" i="2"/>
  <c r="AI150" i="2"/>
  <c r="AI140" i="2"/>
  <c r="AI161" i="2"/>
  <c r="AE160" i="2"/>
  <c r="U160" i="2" s="1"/>
  <c r="V160" i="2" s="1"/>
  <c r="AK160" i="2" s="1"/>
  <c r="AI158" i="2"/>
  <c r="AD161" i="2"/>
  <c r="AJ159" i="2"/>
  <c r="Z160" i="2"/>
  <c r="AR158" i="2"/>
  <c r="AI159" i="2"/>
  <c r="AE157" i="2"/>
  <c r="U157" i="2" s="1"/>
  <c r="V157" i="2" s="1"/>
  <c r="AK157" i="2" s="1"/>
  <c r="AF156" i="2"/>
  <c r="Z155" i="2"/>
  <c r="AE156" i="2"/>
  <c r="U156" i="2" s="1"/>
  <c r="V156" i="2" s="1"/>
  <c r="AK156" i="2" s="1"/>
  <c r="AJ153" i="2"/>
  <c r="AC152" i="2"/>
  <c r="AQ156" i="2"/>
  <c r="AP156" i="2"/>
  <c r="Y152" i="2"/>
  <c r="AF151" i="2"/>
  <c r="Y149" i="2"/>
  <c r="AD148" i="2"/>
  <c r="AR145" i="2"/>
  <c r="AF144" i="2"/>
  <c r="AP142" i="2"/>
  <c r="AQ142" i="2"/>
  <c r="Z142" i="2"/>
  <c r="AE141" i="2"/>
  <c r="U141" i="2" s="1"/>
  <c r="V141" i="2" s="1"/>
  <c r="AK141" i="2" s="1"/>
  <c r="AD141" i="2"/>
  <c r="AC123" i="2"/>
  <c r="Y111" i="2"/>
  <c r="Z111" i="2"/>
  <c r="AD76" i="2"/>
  <c r="AC125" i="2"/>
  <c r="AF155" i="2"/>
  <c r="AD153" i="2"/>
  <c r="AR151" i="2"/>
  <c r="AD151" i="2"/>
  <c r="AQ148" i="2"/>
  <c r="AD144" i="2"/>
  <c r="AJ138" i="2"/>
  <c r="AE136" i="2"/>
  <c r="U136" i="2" s="1"/>
  <c r="V136" i="2" s="1"/>
  <c r="AK136" i="2" s="1"/>
  <c r="AE132" i="2"/>
  <c r="U132" i="2" s="1"/>
  <c r="V132" i="2" s="1"/>
  <c r="AK132" i="2" s="1"/>
  <c r="AD126" i="2"/>
  <c r="AE129" i="2"/>
  <c r="U129" i="2" s="1"/>
  <c r="V129" i="2" s="1"/>
  <c r="AK129" i="2" s="1"/>
  <c r="AI133" i="2"/>
  <c r="AF129" i="2"/>
  <c r="AD134" i="2"/>
  <c r="AF137" i="2"/>
  <c r="AI125" i="2"/>
  <c r="AI129" i="2"/>
  <c r="AD130" i="2"/>
  <c r="AF134" i="2"/>
  <c r="AF118" i="2"/>
  <c r="AC127" i="2"/>
  <c r="AF130" i="2"/>
  <c r="AI134" i="2"/>
  <c r="AC128" i="2"/>
  <c r="AI130" i="2"/>
  <c r="AC138" i="2"/>
  <c r="AC135" i="2"/>
  <c r="AF128" i="2"/>
  <c r="AC131" i="2"/>
  <c r="AE133" i="2"/>
  <c r="U133" i="2" s="1"/>
  <c r="V133" i="2" s="1"/>
  <c r="AK133" i="2" s="1"/>
  <c r="AC129" i="2"/>
  <c r="AF4" i="2"/>
  <c r="AD91" i="2"/>
  <c r="AE153" i="2"/>
  <c r="U153" i="2" s="1"/>
  <c r="V153" i="2" s="1"/>
  <c r="AK153" i="2" s="1"/>
  <c r="AF147" i="2"/>
  <c r="AR141" i="2"/>
  <c r="AR153" i="2"/>
  <c r="AC153" i="2"/>
  <c r="AC151" i="2"/>
  <c r="AP148" i="2"/>
  <c r="Z148" i="2"/>
  <c r="AE147" i="2"/>
  <c r="U147" i="2" s="1"/>
  <c r="V147" i="2" s="1"/>
  <c r="AI147" i="2"/>
  <c r="AJ146" i="2"/>
  <c r="AC144" i="2"/>
  <c r="AQ141" i="2"/>
  <c r="AD140" i="2"/>
  <c r="AF139" i="2"/>
  <c r="AE139" i="2"/>
  <c r="U139" i="2" s="1"/>
  <c r="V139" i="2" s="1"/>
  <c r="AK139" i="2" s="1"/>
  <c r="AI139" i="2"/>
  <c r="AE137" i="2"/>
  <c r="U137" i="2" s="1"/>
  <c r="V137" i="2" s="1"/>
  <c r="AK137" i="2" s="1"/>
  <c r="AD136" i="2"/>
  <c r="Y133" i="2"/>
  <c r="AP132" i="2"/>
  <c r="AQ132" i="2"/>
  <c r="Z132" i="2"/>
  <c r="AC137" i="2"/>
  <c r="AD157" i="2"/>
  <c r="AF150" i="2"/>
  <c r="AD150" i="2"/>
  <c r="AE150" i="2"/>
  <c r="U150" i="2" s="1"/>
  <c r="V150" i="2" s="1"/>
  <c r="AK150" i="2" s="1"/>
  <c r="AJ144" i="2"/>
  <c r="AC140" i="2"/>
  <c r="AD139" i="2"/>
  <c r="AI138" i="2"/>
  <c r="AD138" i="2"/>
  <c r="AD137" i="2"/>
  <c r="AF132" i="2"/>
  <c r="AE131" i="2"/>
  <c r="U131" i="2" s="1"/>
  <c r="V131" i="2" s="1"/>
  <c r="AK131" i="2" s="1"/>
  <c r="AI128" i="2"/>
  <c r="AD103" i="2"/>
  <c r="AI152" i="2"/>
  <c r="AF143" i="2"/>
  <c r="AC155" i="2"/>
  <c r="Z153" i="2"/>
  <c r="AI149" i="2"/>
  <c r="AC147" i="2"/>
  <c r="AE143" i="2"/>
  <c r="U143" i="2" s="1"/>
  <c r="V143" i="2" s="1"/>
  <c r="AK143" i="2" s="1"/>
  <c r="AR140" i="2"/>
  <c r="AC139" i="2"/>
  <c r="AJ137" i="2"/>
  <c r="Y135" i="2"/>
  <c r="AP134" i="2"/>
  <c r="AQ134" i="2"/>
  <c r="AD132" i="2"/>
  <c r="AD129" i="2"/>
  <c r="AD125" i="2"/>
  <c r="AC124" i="2"/>
  <c r="AF122" i="2"/>
  <c r="AC113" i="2"/>
  <c r="AD155" i="2"/>
  <c r="AD147" i="2"/>
  <c r="AR157" i="2"/>
  <c r="AC157" i="2"/>
  <c r="AQ155" i="2"/>
  <c r="AC150" i="2"/>
  <c r="AR147" i="2"/>
  <c r="AI146" i="2"/>
  <c r="Z144" i="2"/>
  <c r="AI143" i="2"/>
  <c r="AF138" i="2"/>
  <c r="AQ157" i="2"/>
  <c r="AJ155" i="2"/>
  <c r="AJ147" i="2"/>
  <c r="AF146" i="2"/>
  <c r="AD146" i="2"/>
  <c r="AE146" i="2"/>
  <c r="U146" i="2" s="1"/>
  <c r="V146" i="2" s="1"/>
  <c r="AK146" i="2" s="1"/>
  <c r="AD143" i="2"/>
  <c r="Z140" i="2"/>
  <c r="AJ139" i="2"/>
  <c r="AF136" i="2"/>
  <c r="AI136" i="2"/>
  <c r="AF149" i="2"/>
  <c r="AC146" i="2"/>
  <c r="AI145" i="2"/>
  <c r="AR143" i="2"/>
  <c r="AC143" i="2"/>
  <c r="AI142" i="2"/>
  <c r="AR139" i="2"/>
  <c r="Y137" i="2"/>
  <c r="Z137" i="2"/>
  <c r="AJ132" i="2"/>
  <c r="AC115" i="2"/>
  <c r="AF106" i="2"/>
  <c r="AD152" i="2"/>
  <c r="AP150" i="2"/>
  <c r="AQ150" i="2"/>
  <c r="AI148" i="2"/>
  <c r="AJ143" i="2"/>
  <c r="AF142" i="2"/>
  <c r="AD142" i="2"/>
  <c r="AE142" i="2"/>
  <c r="U142" i="2" s="1"/>
  <c r="V142" i="2" s="1"/>
  <c r="AK142" i="2" s="1"/>
  <c r="AP139" i="2"/>
  <c r="Z139" i="2"/>
  <c r="AE134" i="2"/>
  <c r="U134" i="2" s="1"/>
  <c r="V134" i="2" s="1"/>
  <c r="AK134" i="2" s="1"/>
  <c r="AE119" i="2"/>
  <c r="U119" i="2" s="1"/>
  <c r="V119" i="2" s="1"/>
  <c r="AK119" i="2" s="1"/>
  <c r="AC121" i="2"/>
  <c r="Y118" i="2"/>
  <c r="Z118" i="2"/>
  <c r="AF154" i="2"/>
  <c r="AE154" i="2"/>
  <c r="U154" i="2" s="1"/>
  <c r="V154" i="2" s="1"/>
  <c r="AK154" i="2" s="1"/>
  <c r="AF145" i="2"/>
  <c r="AI141" i="2"/>
  <c r="AC133" i="2"/>
  <c r="AE124" i="2"/>
  <c r="U124" i="2" s="1"/>
  <c r="V124" i="2" s="1"/>
  <c r="AK124" i="2" s="1"/>
  <c r="AI154" i="2"/>
  <c r="AD149" i="2"/>
  <c r="AR146" i="2"/>
  <c r="AC142" i="2"/>
  <c r="AR156" i="2"/>
  <c r="AD156" i="2"/>
  <c r="AR154" i="2"/>
  <c r="AR149" i="2"/>
  <c r="AP146" i="2"/>
  <c r="AQ146" i="2"/>
  <c r="Z146" i="2"/>
  <c r="AE145" i="2"/>
  <c r="U145" i="2" s="1"/>
  <c r="V145" i="2" s="1"/>
  <c r="AK145" i="2" s="1"/>
  <c r="AD145" i="2"/>
  <c r="AI144" i="2"/>
  <c r="Z143" i="2"/>
  <c r="AP138" i="2"/>
  <c r="AQ138" i="2"/>
  <c r="AQ137" i="2"/>
  <c r="Z134" i="2"/>
  <c r="AJ131" i="2"/>
  <c r="AD109" i="2"/>
  <c r="AE149" i="2"/>
  <c r="U149" i="2" s="1"/>
  <c r="V149" i="2" s="1"/>
  <c r="AK149" i="2" s="1"/>
  <c r="AD154" i="2"/>
  <c r="AC156" i="2"/>
  <c r="AQ154" i="2"/>
  <c r="AI153" i="2"/>
  <c r="AI151" i="2"/>
  <c r="AQ149" i="2"/>
  <c r="AE148" i="2"/>
  <c r="U148" i="2" s="1"/>
  <c r="V148" i="2" s="1"/>
  <c r="AK148" i="2" s="1"/>
  <c r="AC145" i="2"/>
  <c r="AR142" i="2"/>
  <c r="AF141" i="2"/>
  <c r="AF135" i="2"/>
  <c r="AJ96" i="2"/>
  <c r="AF133" i="2"/>
  <c r="AR129" i="2"/>
  <c r="AJ120" i="2"/>
  <c r="Y119" i="2"/>
  <c r="AQ115" i="2"/>
  <c r="AP115" i="2"/>
  <c r="AR112" i="2"/>
  <c r="AJ104" i="2"/>
  <c r="Y97" i="2"/>
  <c r="AF131" i="2"/>
  <c r="AD131" i="2"/>
  <c r="AI117" i="2"/>
  <c r="AD117" i="2"/>
  <c r="AE117" i="2"/>
  <c r="U117" i="2" s="1"/>
  <c r="V117" i="2" s="1"/>
  <c r="AK117" i="2" s="1"/>
  <c r="AD112" i="2"/>
  <c r="AF108" i="2"/>
  <c r="AR119" i="2"/>
  <c r="AE138" i="2"/>
  <c r="U138" i="2" s="1"/>
  <c r="V138" i="2" s="1"/>
  <c r="AK138" i="2" s="1"/>
  <c r="AD135" i="2"/>
  <c r="AR133" i="2"/>
  <c r="AD133" i="2"/>
  <c r="AJ130" i="2"/>
  <c r="AE128" i="2"/>
  <c r="U128" i="2" s="1"/>
  <c r="V128" i="2" s="1"/>
  <c r="AK128" i="2" s="1"/>
  <c r="AR125" i="2"/>
  <c r="AR122" i="2"/>
  <c r="Y121" i="2"/>
  <c r="AR120" i="2"/>
  <c r="AF117" i="2"/>
  <c r="AR114" i="2"/>
  <c r="AR127" i="2"/>
  <c r="Y104" i="2"/>
  <c r="Z104" i="2"/>
  <c r="AJ63" i="2"/>
  <c r="AJ134" i="2"/>
  <c r="Y129" i="2"/>
  <c r="AD128" i="2"/>
  <c r="AP125" i="2"/>
  <c r="AR124" i="2"/>
  <c r="Z124" i="2"/>
  <c r="AQ123" i="2"/>
  <c r="Y123" i="2"/>
  <c r="AQ120" i="2"/>
  <c r="AC117" i="2"/>
  <c r="AJ115" i="2"/>
  <c r="Y113" i="2"/>
  <c r="Z113" i="2"/>
  <c r="AF111" i="2"/>
  <c r="AI111" i="2"/>
  <c r="AD111" i="2"/>
  <c r="AJ92" i="2"/>
  <c r="Z131" i="2"/>
  <c r="AR128" i="2"/>
  <c r="AF119" i="2"/>
  <c r="AI119" i="2"/>
  <c r="AD119" i="2"/>
  <c r="AF112" i="2"/>
  <c r="AJ106" i="2"/>
  <c r="AE97" i="2"/>
  <c r="U97" i="2" s="1"/>
  <c r="V97" i="2" s="1"/>
  <c r="AK97" i="2" s="1"/>
  <c r="AI86" i="2"/>
  <c r="AC84" i="2"/>
  <c r="AI132" i="2"/>
  <c r="AQ128" i="2"/>
  <c r="AE127" i="2"/>
  <c r="U127" i="2" s="1"/>
  <c r="V127" i="2" s="1"/>
  <c r="AK127" i="2" s="1"/>
  <c r="AF127" i="2"/>
  <c r="AI127" i="2"/>
  <c r="AD127" i="2"/>
  <c r="Z125" i="2"/>
  <c r="Y115" i="2"/>
  <c r="Z115" i="2"/>
  <c r="AE99" i="2"/>
  <c r="U99" i="2" s="1"/>
  <c r="V99" i="2" s="1"/>
  <c r="AK99" i="2" s="1"/>
  <c r="AF96" i="2"/>
  <c r="Y92" i="2"/>
  <c r="Z92" i="2"/>
  <c r="AQ111" i="2"/>
  <c r="AP111" i="2"/>
  <c r="AF104" i="2"/>
  <c r="AE101" i="2"/>
  <c r="U101" i="2" s="1"/>
  <c r="V101" i="2" s="1"/>
  <c r="AK101" i="2" s="1"/>
  <c r="AI120" i="2"/>
  <c r="AJ118" i="2"/>
  <c r="AD116" i="2"/>
  <c r="AF114" i="2"/>
  <c r="AD113" i="2"/>
  <c r="AE113" i="2"/>
  <c r="U113" i="2" s="1"/>
  <c r="V113" i="2" s="1"/>
  <c r="AK113" i="2" s="1"/>
  <c r="AF113" i="2"/>
  <c r="AI113" i="2"/>
  <c r="Y109" i="2"/>
  <c r="Z109" i="2"/>
  <c r="AF105" i="2"/>
  <c r="AF123" i="2"/>
  <c r="AD123" i="2"/>
  <c r="AI121" i="2"/>
  <c r="AF120" i="2"/>
  <c r="AD120" i="2"/>
  <c r="AC119" i="2"/>
  <c r="AC111" i="2"/>
  <c r="AR115" i="2"/>
  <c r="AE98" i="2"/>
  <c r="U98" i="2" s="1"/>
  <c r="V98" i="2" s="1"/>
  <c r="AK98" i="2" s="1"/>
  <c r="AD96" i="2"/>
  <c r="AD108" i="2"/>
  <c r="AI112" i="2"/>
  <c r="AI116" i="2"/>
  <c r="AI98" i="2"/>
  <c r="AC118" i="2"/>
  <c r="AC122" i="2"/>
  <c r="AC126" i="2"/>
  <c r="AC130" i="2"/>
  <c r="AC134" i="2"/>
  <c r="AD106" i="2"/>
  <c r="AD110" i="2"/>
  <c r="AD114" i="2"/>
  <c r="AD118" i="2"/>
  <c r="AD122" i="2"/>
  <c r="AE114" i="2"/>
  <c r="U114" i="2" s="1"/>
  <c r="V114" i="2" s="1"/>
  <c r="AK114" i="2" s="1"/>
  <c r="AE118" i="2"/>
  <c r="U118" i="2" s="1"/>
  <c r="V118" i="2" s="1"/>
  <c r="AK118" i="2" s="1"/>
  <c r="AE122" i="2"/>
  <c r="U122" i="2" s="1"/>
  <c r="V122" i="2" s="1"/>
  <c r="AK122" i="2" s="1"/>
  <c r="AE126" i="2"/>
  <c r="U126" i="2" s="1"/>
  <c r="V126" i="2" s="1"/>
  <c r="AK126" i="2" s="1"/>
  <c r="AE130" i="2"/>
  <c r="U130" i="2" s="1"/>
  <c r="V130" i="2" s="1"/>
  <c r="AK130" i="2" s="1"/>
  <c r="AD97" i="2"/>
  <c r="AF99" i="2"/>
  <c r="AD104" i="2"/>
  <c r="AC109" i="2"/>
  <c r="AF110" i="2"/>
  <c r="AC102" i="2"/>
  <c r="AI106" i="2"/>
  <c r="AC107" i="2"/>
  <c r="AD107" i="2"/>
  <c r="AI110" i="2"/>
  <c r="AI114" i="2"/>
  <c r="AI118" i="2"/>
  <c r="AI122" i="2"/>
  <c r="AI126" i="2"/>
  <c r="AC100" i="2"/>
  <c r="AF102" i="2"/>
  <c r="AC105" i="2"/>
  <c r="AE107" i="2"/>
  <c r="U107" i="2" s="1"/>
  <c r="V107" i="2" s="1"/>
  <c r="AK107" i="2" s="1"/>
  <c r="AC112" i="2"/>
  <c r="AC116" i="2"/>
  <c r="AD100" i="2"/>
  <c r="AD105" i="2"/>
  <c r="AF107" i="2"/>
  <c r="AC98" i="2"/>
  <c r="AF100" i="2"/>
  <c r="AI102" i="2"/>
  <c r="AE105" i="2"/>
  <c r="U105" i="2" s="1"/>
  <c r="V105" i="2" s="1"/>
  <c r="AK105" i="2" s="1"/>
  <c r="AE112" i="2"/>
  <c r="U112" i="2" s="1"/>
  <c r="V112" i="2" s="1"/>
  <c r="AK112" i="2" s="1"/>
  <c r="AE116" i="2"/>
  <c r="U116" i="2" s="1"/>
  <c r="V116" i="2" s="1"/>
  <c r="AK116" i="2" s="1"/>
  <c r="AF98" i="2"/>
  <c r="AD90" i="2"/>
  <c r="AC132" i="2"/>
  <c r="Z127" i="2"/>
  <c r="AF126" i="2"/>
  <c r="AI124" i="2"/>
  <c r="AF121" i="2"/>
  <c r="AE121" i="2"/>
  <c r="U121" i="2" s="1"/>
  <c r="V121" i="2" s="1"/>
  <c r="AK121" i="2" s="1"/>
  <c r="AE120" i="2"/>
  <c r="U120" i="2" s="1"/>
  <c r="V120" i="2" s="1"/>
  <c r="AK120" i="2" s="1"/>
  <c r="AR117" i="2"/>
  <c r="AE115" i="2"/>
  <c r="U115" i="2" s="1"/>
  <c r="V115" i="2" s="1"/>
  <c r="AK115" i="2" s="1"/>
  <c r="AF115" i="2"/>
  <c r="AI115" i="2"/>
  <c r="AD115" i="2"/>
  <c r="AP113" i="2"/>
  <c r="AQ113" i="2"/>
  <c r="AF93" i="2"/>
  <c r="AF92" i="2"/>
  <c r="AI131" i="2"/>
  <c r="AF125" i="2"/>
  <c r="AE125" i="2"/>
  <c r="U125" i="2" s="1"/>
  <c r="V125" i="2" s="1"/>
  <c r="AK125" i="2" s="1"/>
  <c r="AF124" i="2"/>
  <c r="AD124" i="2"/>
  <c r="AE123" i="2"/>
  <c r="U123" i="2" s="1"/>
  <c r="V123" i="2" s="1"/>
  <c r="AK123" i="2" s="1"/>
  <c r="AD121" i="2"/>
  <c r="AC120" i="2"/>
  <c r="AR118" i="2"/>
  <c r="AP117" i="2"/>
  <c r="AQ117" i="2"/>
  <c r="AF116" i="2"/>
  <c r="AI103" i="2"/>
  <c r="AF103" i="2"/>
  <c r="AC103" i="2"/>
  <c r="AE103" i="2"/>
  <c r="U103" i="2" s="1"/>
  <c r="V103" i="2" s="1"/>
  <c r="AK103" i="2" s="1"/>
  <c r="AF87" i="2"/>
  <c r="AJ117" i="2"/>
  <c r="AJ113" i="2"/>
  <c r="AJ109" i="2"/>
  <c r="AR108" i="2"/>
  <c r="AC108" i="2"/>
  <c r="AJ102" i="2"/>
  <c r="AQ101" i="2"/>
  <c r="AC101" i="2"/>
  <c r="AI100" i="2"/>
  <c r="AR96" i="2"/>
  <c r="AC96" i="2"/>
  <c r="AE91" i="2"/>
  <c r="U91" i="2" s="1"/>
  <c r="V91" i="2" s="1"/>
  <c r="AK91" i="2" s="1"/>
  <c r="AI91" i="2"/>
  <c r="AI88" i="2"/>
  <c r="AE88" i="2"/>
  <c r="U88" i="2" s="1"/>
  <c r="V88" i="2" s="1"/>
  <c r="AK88" i="2" s="1"/>
  <c r="AF88" i="2"/>
  <c r="Y86" i="2"/>
  <c r="Z86" i="2"/>
  <c r="AR83" i="2"/>
  <c r="AI68" i="2"/>
  <c r="AF62" i="2"/>
  <c r="AI109" i="2"/>
  <c r="AE93" i="2"/>
  <c r="U93" i="2" s="1"/>
  <c r="V93" i="2" s="1"/>
  <c r="AK93" i="2" s="1"/>
  <c r="AC90" i="2"/>
  <c r="AF89" i="2"/>
  <c r="AI89" i="2"/>
  <c r="AD88" i="2"/>
  <c r="Y80" i="2"/>
  <c r="Z80" i="2"/>
  <c r="AI79" i="2"/>
  <c r="Y106" i="2"/>
  <c r="AI105" i="2"/>
  <c r="AP103" i="2"/>
  <c r="AE100" i="2"/>
  <c r="U100" i="2" s="1"/>
  <c r="V100" i="2" s="1"/>
  <c r="AK100" i="2" s="1"/>
  <c r="AP98" i="2"/>
  <c r="Z96" i="2"/>
  <c r="AF95" i="2"/>
  <c r="Y94" i="2"/>
  <c r="AR93" i="2"/>
  <c r="AD93" i="2"/>
  <c r="AI93" i="2"/>
  <c r="AP91" i="2"/>
  <c r="AE89" i="2"/>
  <c r="U89" i="2" s="1"/>
  <c r="V89" i="2" s="1"/>
  <c r="AK89" i="2" s="1"/>
  <c r="AC88" i="2"/>
  <c r="AJ87" i="2"/>
  <c r="AI85" i="2"/>
  <c r="Y84" i="2"/>
  <c r="Z84" i="2"/>
  <c r="Y82" i="2"/>
  <c r="AI81" i="2"/>
  <c r="AC83" i="2"/>
  <c r="AR113" i="2"/>
  <c r="AR109" i="2"/>
  <c r="AF109" i="2"/>
  <c r="AI104" i="2"/>
  <c r="AE95" i="2"/>
  <c r="U95" i="2" s="1"/>
  <c r="V95" i="2" s="1"/>
  <c r="AK95" i="2" s="1"/>
  <c r="AC93" i="2"/>
  <c r="AI92" i="2"/>
  <c r="Z91" i="2"/>
  <c r="AP86" i="2"/>
  <c r="AQ86" i="2"/>
  <c r="AI83" i="2"/>
  <c r="AF79" i="2"/>
  <c r="AC73" i="2"/>
  <c r="AQ109" i="2"/>
  <c r="AE109" i="2"/>
  <c r="U109" i="2" s="1"/>
  <c r="V109" i="2" s="1"/>
  <c r="AK109" i="2" s="1"/>
  <c r="Y108" i="2"/>
  <c r="AR107" i="2"/>
  <c r="AI107" i="2"/>
  <c r="Z103" i="2"/>
  <c r="AD102" i="2"/>
  <c r="AE102" i="2"/>
  <c r="U102" i="2" s="1"/>
  <c r="V102" i="2" s="1"/>
  <c r="AK102" i="2" s="1"/>
  <c r="AP100" i="2"/>
  <c r="Z98" i="2"/>
  <c r="AF97" i="2"/>
  <c r="Y96" i="2"/>
  <c r="AR95" i="2"/>
  <c r="AD95" i="2"/>
  <c r="AI95" i="2"/>
  <c r="AP90" i="2"/>
  <c r="AR89" i="2"/>
  <c r="AD86" i="2"/>
  <c r="AE86" i="2"/>
  <c r="U86" i="2" s="1"/>
  <c r="V86" i="2" s="1"/>
  <c r="AK86" i="2" s="1"/>
  <c r="AF86" i="2"/>
  <c r="AF85" i="2"/>
  <c r="AR68" i="2"/>
  <c r="AP109" i="2"/>
  <c r="AR102" i="2"/>
  <c r="AJ101" i="2"/>
  <c r="AC95" i="2"/>
  <c r="AI94" i="2"/>
  <c r="Y90" i="2"/>
  <c r="Z90" i="2"/>
  <c r="Y88" i="2"/>
  <c r="Z88" i="2"/>
  <c r="AF83" i="2"/>
  <c r="AJ79" i="2"/>
  <c r="AE104" i="2"/>
  <c r="U104" i="2" s="1"/>
  <c r="V104" i="2" s="1"/>
  <c r="AK104" i="2" s="1"/>
  <c r="AI97" i="2"/>
  <c r="AD92" i="2"/>
  <c r="AE92" i="2"/>
  <c r="U92" i="2" s="1"/>
  <c r="V92" i="2" s="1"/>
  <c r="AK92" i="2" s="1"/>
  <c r="AF84" i="2"/>
  <c r="AI84" i="2"/>
  <c r="AC91" i="2"/>
  <c r="AD87" i="2"/>
  <c r="AE87" i="2"/>
  <c r="U87" i="2" s="1"/>
  <c r="V87" i="2" s="1"/>
  <c r="AK87" i="2" s="1"/>
  <c r="AC78" i="2"/>
  <c r="AD82" i="2"/>
  <c r="AE82" i="2"/>
  <c r="U82" i="2" s="1"/>
  <c r="V82" i="2" s="1"/>
  <c r="AF82" i="2"/>
  <c r="AC89" i="2"/>
  <c r="AD89" i="2"/>
  <c r="AI82" i="2"/>
  <c r="AE85" i="2"/>
  <c r="U85" i="2" s="1"/>
  <c r="V85" i="2" s="1"/>
  <c r="AK85" i="2" s="1"/>
  <c r="AF81" i="2"/>
  <c r="AC67" i="2"/>
  <c r="AI108" i="2"/>
  <c r="AR104" i="2"/>
  <c r="AC104" i="2"/>
  <c r="AJ103" i="2"/>
  <c r="AC97" i="2"/>
  <c r="AI96" i="2"/>
  <c r="AF94" i="2"/>
  <c r="AR92" i="2"/>
  <c r="AC92" i="2"/>
  <c r="AC86" i="2"/>
  <c r="AP84" i="2"/>
  <c r="AJ83" i="2"/>
  <c r="AJ78" i="2"/>
  <c r="Z65" i="2"/>
  <c r="Y65" i="2"/>
  <c r="AE106" i="2"/>
  <c r="U106" i="2" s="1"/>
  <c r="V106" i="2" s="1"/>
  <c r="AK106" i="2" s="1"/>
  <c r="Z102" i="2"/>
  <c r="AF101" i="2"/>
  <c r="AR99" i="2"/>
  <c r="AD99" i="2"/>
  <c r="AI99" i="2"/>
  <c r="Z95" i="2"/>
  <c r="AD94" i="2"/>
  <c r="AE94" i="2"/>
  <c r="U94" i="2" s="1"/>
  <c r="V94" i="2" s="1"/>
  <c r="AK94" i="2" s="1"/>
  <c r="AP82" i="2"/>
  <c r="AQ82" i="2"/>
  <c r="AJ72" i="2"/>
  <c r="AR131" i="2"/>
  <c r="AR123" i="2"/>
  <c r="AC114" i="2"/>
  <c r="AR111" i="2"/>
  <c r="AC110" i="2"/>
  <c r="AC106" i="2"/>
  <c r="AJ105" i="2"/>
  <c r="AC99" i="2"/>
  <c r="AR94" i="2"/>
  <c r="AC94" i="2"/>
  <c r="AJ93" i="2"/>
  <c r="AJ88" i="2"/>
  <c r="AE108" i="2"/>
  <c r="U108" i="2" s="1"/>
  <c r="V108" i="2" s="1"/>
  <c r="AK108" i="2" s="1"/>
  <c r="AI101" i="2"/>
  <c r="AE96" i="2"/>
  <c r="U96" i="2" s="1"/>
  <c r="V96" i="2" s="1"/>
  <c r="AF91" i="2"/>
  <c r="AI90" i="2"/>
  <c r="AE90" i="2"/>
  <c r="U90" i="2" s="1"/>
  <c r="V90" i="2" s="1"/>
  <c r="AK90" i="2" s="1"/>
  <c r="AF90" i="2"/>
  <c r="AI87" i="2"/>
  <c r="AD84" i="2"/>
  <c r="AC82" i="2"/>
  <c r="AD80" i="2"/>
  <c r="AP67" i="2"/>
  <c r="AQ67" i="2"/>
  <c r="AR76" i="2"/>
  <c r="AR80" i="2"/>
  <c r="AR84" i="2"/>
  <c r="AR88" i="2"/>
  <c r="AR70" i="2"/>
  <c r="AR74" i="2"/>
  <c r="AR75" i="2"/>
  <c r="AR78" i="2"/>
  <c r="AR82" i="2"/>
  <c r="AR86" i="2"/>
  <c r="AR90" i="2"/>
  <c r="AR72" i="2"/>
  <c r="AR77" i="2"/>
  <c r="AR81" i="2"/>
  <c r="AE51" i="2"/>
  <c r="U51" i="2" s="1"/>
  <c r="V51" i="2" s="1"/>
  <c r="AK51" i="2" s="1"/>
  <c r="AJ55" i="2"/>
  <c r="AC80" i="2"/>
  <c r="AF77" i="2"/>
  <c r="AJ73" i="2"/>
  <c r="AI60" i="2"/>
  <c r="AD53" i="2"/>
  <c r="AI48" i="2"/>
  <c r="AI45" i="2"/>
  <c r="AF39" i="2"/>
  <c r="AE81" i="2"/>
  <c r="U81" i="2" s="1"/>
  <c r="V81" i="2" s="1"/>
  <c r="AK81" i="2" s="1"/>
  <c r="AI78" i="2"/>
  <c r="AE77" i="2"/>
  <c r="U77" i="2" s="1"/>
  <c r="V77" i="2" s="1"/>
  <c r="AK77" i="2" s="1"/>
  <c r="AI75" i="2"/>
  <c r="AF75" i="2"/>
  <c r="AD75" i="2"/>
  <c r="AF74" i="2"/>
  <c r="AF71" i="2"/>
  <c r="AI71" i="2"/>
  <c r="AD71" i="2"/>
  <c r="AF70" i="2"/>
  <c r="Y63" i="2"/>
  <c r="Z63" i="2"/>
  <c r="AF59" i="2"/>
  <c r="AD50" i="2"/>
  <c r="AF47" i="2"/>
  <c r="AD85" i="2"/>
  <c r="AD81" i="2"/>
  <c r="AD77" i="2"/>
  <c r="Z76" i="2"/>
  <c r="AE74" i="2"/>
  <c r="U74" i="2" s="1"/>
  <c r="V74" i="2" s="1"/>
  <c r="AK74" i="2" s="1"/>
  <c r="AJ70" i="2"/>
  <c r="Z69" i="2"/>
  <c r="AE67" i="2"/>
  <c r="U67" i="2" s="1"/>
  <c r="V67" i="2" s="1"/>
  <c r="AK67" i="2" s="1"/>
  <c r="AP65" i="2"/>
  <c r="AI64" i="2"/>
  <c r="AQ40" i="2"/>
  <c r="AP40" i="2"/>
  <c r="AR51" i="2"/>
  <c r="AR55" i="2"/>
  <c r="AR59" i="2"/>
  <c r="AR63" i="2"/>
  <c r="AR67" i="2"/>
  <c r="AR71" i="2"/>
  <c r="AR44" i="2"/>
  <c r="AR50" i="2"/>
  <c r="AR54" i="2"/>
  <c r="AR58" i="2"/>
  <c r="AR46" i="2"/>
  <c r="AR49" i="2"/>
  <c r="AR53" i="2"/>
  <c r="AR57" i="2"/>
  <c r="AR61" i="2"/>
  <c r="AR65" i="2"/>
  <c r="AR69" i="2"/>
  <c r="AR73" i="2"/>
  <c r="AR45" i="2"/>
  <c r="AR48" i="2"/>
  <c r="AR52" i="2"/>
  <c r="AR56" i="2"/>
  <c r="AR60" i="2"/>
  <c r="AC85" i="2"/>
  <c r="AC81" i="2"/>
  <c r="AF78" i="2"/>
  <c r="AC77" i="2"/>
  <c r="AE75" i="2"/>
  <c r="U75" i="2" s="1"/>
  <c r="V75" i="2" s="1"/>
  <c r="AK75" i="2" s="1"/>
  <c r="Z73" i="2"/>
  <c r="AJ71" i="2"/>
  <c r="AE65" i="2"/>
  <c r="U65" i="2" s="1"/>
  <c r="V65" i="2" s="1"/>
  <c r="AK65" i="2" s="1"/>
  <c r="AF65" i="2"/>
  <c r="AI65" i="2"/>
  <c r="AF64" i="2"/>
  <c r="AD61" i="2"/>
  <c r="AE61" i="2"/>
  <c r="U61" i="2" s="1"/>
  <c r="V61" i="2" s="1"/>
  <c r="AK61" i="2" s="1"/>
  <c r="AF61" i="2"/>
  <c r="AI61" i="2"/>
  <c r="AJ51" i="2"/>
  <c r="AD7" i="2"/>
  <c r="AQ78" i="2"/>
  <c r="AE78" i="2"/>
  <c r="U78" i="2" s="1"/>
  <c r="V78" i="2" s="1"/>
  <c r="AK78" i="2" s="1"/>
  <c r="AC75" i="2"/>
  <c r="AJ64" i="2"/>
  <c r="AI56" i="2"/>
  <c r="AD49" i="2"/>
  <c r="AF46" i="2"/>
  <c r="AF19" i="2"/>
  <c r="AE19" i="2"/>
  <c r="U19" i="2" s="1"/>
  <c r="V19" i="2" s="1"/>
  <c r="AK19" i="2" s="1"/>
  <c r="AE37" i="2"/>
  <c r="U37" i="2" s="1"/>
  <c r="V37" i="2" s="1"/>
  <c r="AK37" i="2" s="1"/>
  <c r="AC44" i="2"/>
  <c r="AC50" i="2"/>
  <c r="AC54" i="2"/>
  <c r="AC58" i="2"/>
  <c r="AC62" i="2"/>
  <c r="AC66" i="2"/>
  <c r="AC70" i="2"/>
  <c r="AC74" i="2"/>
  <c r="AF37" i="2"/>
  <c r="AD44" i="2"/>
  <c r="AD54" i="2"/>
  <c r="AD58" i="2"/>
  <c r="AD62" i="2"/>
  <c r="AD66" i="2"/>
  <c r="AD70" i="2"/>
  <c r="AD74" i="2"/>
  <c r="AC27" i="2"/>
  <c r="AD33" i="2"/>
  <c r="AF36" i="2"/>
  <c r="AD38" i="2"/>
  <c r="AI47" i="2"/>
  <c r="AE66" i="2"/>
  <c r="U66" i="2" s="1"/>
  <c r="V66" i="2" s="1"/>
  <c r="AK66" i="2" s="1"/>
  <c r="AE70" i="2"/>
  <c r="U70" i="2" s="1"/>
  <c r="V70" i="2" s="1"/>
  <c r="AK70" i="2" s="1"/>
  <c r="AD11" i="2"/>
  <c r="AD27" i="2"/>
  <c r="AD39" i="2"/>
  <c r="AC40" i="2"/>
  <c r="AF44" i="2"/>
  <c r="AC46" i="2"/>
  <c r="AC49" i="2"/>
  <c r="AF50" i="2"/>
  <c r="AC53" i="2"/>
  <c r="AF54" i="2"/>
  <c r="AC57" i="2"/>
  <c r="AF58" i="2"/>
  <c r="AF16" i="2"/>
  <c r="AC23" i="2"/>
  <c r="AI38" i="2"/>
  <c r="AD40" i="2"/>
  <c r="AD46" i="2"/>
  <c r="AF40" i="2"/>
  <c r="AD41" i="2"/>
  <c r="AC43" i="2"/>
  <c r="AI44" i="2"/>
  <c r="AI50" i="2"/>
  <c r="AI54" i="2"/>
  <c r="AI58" i="2"/>
  <c r="AI62" i="2"/>
  <c r="AI66" i="2"/>
  <c r="AI70" i="2"/>
  <c r="AI74" i="2"/>
  <c r="AE41" i="2"/>
  <c r="U41" i="2" s="1"/>
  <c r="V41" i="2" s="1"/>
  <c r="AK41" i="2" s="1"/>
  <c r="AD43" i="2"/>
  <c r="AC48" i="2"/>
  <c r="AC52" i="2"/>
  <c r="AC56" i="2"/>
  <c r="AC60" i="2"/>
  <c r="AC64" i="2"/>
  <c r="AC68" i="2"/>
  <c r="AC72" i="2"/>
  <c r="AC76" i="2"/>
  <c r="AC19" i="2"/>
  <c r="AF41" i="2"/>
  <c r="AE43" i="2"/>
  <c r="U43" i="2" s="1"/>
  <c r="V43" i="2" s="1"/>
  <c r="AK43" i="2" s="1"/>
  <c r="AC45" i="2"/>
  <c r="AD48" i="2"/>
  <c r="AD52" i="2"/>
  <c r="AD56" i="2"/>
  <c r="AD60" i="2"/>
  <c r="AD64" i="2"/>
  <c r="AD68" i="2"/>
  <c r="AD72" i="2"/>
  <c r="AD19" i="2"/>
  <c r="AF28" i="2"/>
  <c r="AF43" i="2"/>
  <c r="AD45" i="2"/>
  <c r="AE48" i="2"/>
  <c r="U48" i="2" s="1"/>
  <c r="V48" i="2" s="1"/>
  <c r="AE52" i="2"/>
  <c r="U52" i="2" s="1"/>
  <c r="V52" i="2" s="1"/>
  <c r="AK52" i="2" s="1"/>
  <c r="AE56" i="2"/>
  <c r="U56" i="2" s="1"/>
  <c r="V56" i="2" s="1"/>
  <c r="AK56" i="2" s="1"/>
  <c r="AE60" i="2"/>
  <c r="U60" i="2" s="1"/>
  <c r="V60" i="2" s="1"/>
  <c r="AE64" i="2"/>
  <c r="U64" i="2" s="1"/>
  <c r="V64" i="2" s="1"/>
  <c r="AK64" i="2" s="1"/>
  <c r="AE68" i="2"/>
  <c r="U68" i="2" s="1"/>
  <c r="V68" i="2" s="1"/>
  <c r="AK68" i="2" s="1"/>
  <c r="AE72" i="2"/>
  <c r="U72" i="2" s="1"/>
  <c r="V72" i="2" s="1"/>
  <c r="AK72" i="2" s="1"/>
  <c r="AE45" i="2"/>
  <c r="U45" i="2" s="1"/>
  <c r="V45" i="2" s="1"/>
  <c r="AK45" i="2" s="1"/>
  <c r="AC47" i="2"/>
  <c r="AF48" i="2"/>
  <c r="AC51" i="2"/>
  <c r="AF52" i="2"/>
  <c r="AC55" i="2"/>
  <c r="AF56" i="2"/>
  <c r="AC59" i="2"/>
  <c r="AF60" i="2"/>
  <c r="AC63" i="2"/>
  <c r="AD47" i="2"/>
  <c r="AD78" i="2"/>
  <c r="AP73" i="2"/>
  <c r="AE71" i="2"/>
  <c r="U71" i="2" s="1"/>
  <c r="V71" i="2" s="1"/>
  <c r="AK71" i="2" s="1"/>
  <c r="AP69" i="2"/>
  <c r="AF63" i="2"/>
  <c r="AP61" i="2"/>
  <c r="AQ61" i="2"/>
  <c r="AF55" i="2"/>
  <c r="AP44" i="2"/>
  <c r="AQ44" i="2"/>
  <c r="Z44" i="2"/>
  <c r="AE42" i="2"/>
  <c r="U42" i="2" s="1"/>
  <c r="V42" i="2" s="1"/>
  <c r="AK42" i="2" s="1"/>
  <c r="AD42" i="2"/>
  <c r="AF42" i="2"/>
  <c r="AI42" i="2"/>
  <c r="Y41" i="2"/>
  <c r="Z41" i="2"/>
  <c r="Y40" i="2"/>
  <c r="Z40" i="2"/>
  <c r="AC71" i="2"/>
  <c r="AE69" i="2"/>
  <c r="U69" i="2" s="1"/>
  <c r="V69" i="2" s="1"/>
  <c r="AK69" i="2" s="1"/>
  <c r="AF69" i="2"/>
  <c r="AI69" i="2"/>
  <c r="AF68" i="2"/>
  <c r="Y67" i="2"/>
  <c r="Z67" i="2"/>
  <c r="AD65" i="2"/>
  <c r="AE59" i="2"/>
  <c r="U59" i="2" s="1"/>
  <c r="V59" i="2" s="1"/>
  <c r="AK59" i="2" s="1"/>
  <c r="AE47" i="2"/>
  <c r="U47" i="2" s="1"/>
  <c r="V47" i="2" s="1"/>
  <c r="AK47" i="2" s="1"/>
  <c r="AF12" i="2"/>
  <c r="AE83" i="2"/>
  <c r="U83" i="2" s="1"/>
  <c r="V83" i="2" s="1"/>
  <c r="AK83" i="2" s="1"/>
  <c r="AI80" i="2"/>
  <c r="AE79" i="2"/>
  <c r="U79" i="2" s="1"/>
  <c r="V79" i="2" s="1"/>
  <c r="AK79" i="2" s="1"/>
  <c r="AI76" i="2"/>
  <c r="AE73" i="2"/>
  <c r="U73" i="2" s="1"/>
  <c r="V73" i="2" s="1"/>
  <c r="AK73" i="2" s="1"/>
  <c r="AF73" i="2"/>
  <c r="AI73" i="2"/>
  <c r="AC65" i="2"/>
  <c r="AC61" i="2"/>
  <c r="AJ59" i="2"/>
  <c r="AJ47" i="2"/>
  <c r="AJ38" i="2"/>
  <c r="AD83" i="2"/>
  <c r="AD79" i="2"/>
  <c r="Y75" i="2"/>
  <c r="Z75" i="2"/>
  <c r="AI72" i="2"/>
  <c r="AD57" i="2"/>
  <c r="AI52" i="2"/>
  <c r="AD34" i="2"/>
  <c r="AC87" i="2"/>
  <c r="Z82" i="2"/>
  <c r="AF80" i="2"/>
  <c r="AC79" i="2"/>
  <c r="Z78" i="2"/>
  <c r="AF76" i="2"/>
  <c r="AF72" i="2"/>
  <c r="Y71" i="2"/>
  <c r="Z71" i="2"/>
  <c r="AD69" i="2"/>
  <c r="AF51" i="2"/>
  <c r="AJ46" i="2"/>
  <c r="AC42" i="2"/>
  <c r="AI77" i="2"/>
  <c r="AE76" i="2"/>
  <c r="U76" i="2" s="1"/>
  <c r="V76" i="2" s="1"/>
  <c r="AK76" i="2" s="1"/>
  <c r="AD73" i="2"/>
  <c r="AC69" i="2"/>
  <c r="AF67" i="2"/>
  <c r="AI67" i="2"/>
  <c r="AD67" i="2"/>
  <c r="AF66" i="2"/>
  <c r="AE63" i="2"/>
  <c r="U63" i="2" s="1"/>
  <c r="V63" i="2" s="1"/>
  <c r="AK63" i="2" s="1"/>
  <c r="AR62" i="2"/>
  <c r="AE55" i="2"/>
  <c r="U55" i="2" s="1"/>
  <c r="V55" i="2" s="1"/>
  <c r="AK55" i="2" s="1"/>
  <c r="Y43" i="2"/>
  <c r="Z43" i="2"/>
  <c r="AD37" i="2"/>
  <c r="AE21" i="2"/>
  <c r="U21" i="2" s="1"/>
  <c r="V21" i="2" s="1"/>
  <c r="AK21" i="2" s="1"/>
  <c r="AD15" i="2"/>
  <c r="AJ69" i="2"/>
  <c r="AJ65" i="2"/>
  <c r="AD63" i="2"/>
  <c r="AJ61" i="2"/>
  <c r="AD59" i="2"/>
  <c r="AJ57" i="2"/>
  <c r="AD55" i="2"/>
  <c r="AJ53" i="2"/>
  <c r="AD51" i="2"/>
  <c r="AJ49" i="2"/>
  <c r="AF45" i="2"/>
  <c r="AJ41" i="2"/>
  <c r="AP38" i="2"/>
  <c r="Y36" i="2"/>
  <c r="Z35" i="2"/>
  <c r="AQ35" i="2"/>
  <c r="Z33" i="2"/>
  <c r="Y33" i="2"/>
  <c r="AE32" i="2"/>
  <c r="U32" i="2" s="1"/>
  <c r="V32" i="2" s="1"/>
  <c r="AK32" i="2" s="1"/>
  <c r="AE30" i="2"/>
  <c r="U30" i="2" s="1"/>
  <c r="V30" i="2" s="1"/>
  <c r="AK30" i="2" s="1"/>
  <c r="Z29" i="2"/>
  <c r="Y29" i="2"/>
  <c r="AF24" i="2"/>
  <c r="AJ22" i="2"/>
  <c r="AC15" i="2"/>
  <c r="AE9" i="2"/>
  <c r="U9" i="2" s="1"/>
  <c r="V9" i="2" s="1"/>
  <c r="AR37" i="2"/>
  <c r="AR36" i="2"/>
  <c r="AF35" i="2"/>
  <c r="AI35" i="2"/>
  <c r="AE35" i="2"/>
  <c r="U35" i="2" s="1"/>
  <c r="V35" i="2" s="1"/>
  <c r="AK35" i="2" s="1"/>
  <c r="AJ34" i="2"/>
  <c r="AR16" i="2"/>
  <c r="AE14" i="2"/>
  <c r="U14" i="2" s="1"/>
  <c r="V14" i="2" s="1"/>
  <c r="AK14" i="2" s="1"/>
  <c r="Z13" i="2"/>
  <c r="Y13" i="2"/>
  <c r="AJ10" i="2"/>
  <c r="AR7" i="2"/>
  <c r="AR11" i="2"/>
  <c r="AR15" i="2"/>
  <c r="AR19" i="2"/>
  <c r="AR23" i="2"/>
  <c r="AR27" i="2"/>
  <c r="AR31" i="2"/>
  <c r="AR35" i="2"/>
  <c r="AR10" i="2"/>
  <c r="AR14" i="2"/>
  <c r="AR18" i="2"/>
  <c r="AR22" i="2"/>
  <c r="AR26" i="2"/>
  <c r="AR30" i="2"/>
  <c r="AR34" i="2"/>
  <c r="AR38" i="2"/>
  <c r="AR9" i="2"/>
  <c r="AR13" i="2"/>
  <c r="AR17" i="2"/>
  <c r="AR21" i="2"/>
  <c r="AR25" i="2"/>
  <c r="AR29" i="2"/>
  <c r="AR33" i="2"/>
  <c r="AQ7" i="2"/>
  <c r="AI57" i="2"/>
  <c r="AI53" i="2"/>
  <c r="AI49" i="2"/>
  <c r="Z42" i="2"/>
  <c r="AJ40" i="2"/>
  <c r="Y38" i="2"/>
  <c r="AE25" i="2"/>
  <c r="U25" i="2" s="1"/>
  <c r="V25" i="2" s="1"/>
  <c r="AK25" i="2" s="1"/>
  <c r="AF23" i="2"/>
  <c r="AE23" i="2"/>
  <c r="U23" i="2" s="1"/>
  <c r="V23" i="2" s="1"/>
  <c r="AK23" i="2" s="1"/>
  <c r="AI46" i="2"/>
  <c r="Y44" i="2"/>
  <c r="AR43" i="2"/>
  <c r="AD35" i="2"/>
  <c r="AF32" i="2"/>
  <c r="AJ26" i="2"/>
  <c r="Z23" i="2"/>
  <c r="AQ23" i="2"/>
  <c r="AF11" i="2"/>
  <c r="AE11" i="2"/>
  <c r="U11" i="2" s="1"/>
  <c r="V11" i="2" s="1"/>
  <c r="AK11" i="2" s="1"/>
  <c r="AC7" i="2"/>
  <c r="Z59" i="2"/>
  <c r="AF57" i="2"/>
  <c r="Z55" i="2"/>
  <c r="AF53" i="2"/>
  <c r="Z51" i="2"/>
  <c r="AF49" i="2"/>
  <c r="Z47" i="2"/>
  <c r="AQ43" i="2"/>
  <c r="AI43" i="2"/>
  <c r="AE40" i="2"/>
  <c r="U40" i="2" s="1"/>
  <c r="V40" i="2" s="1"/>
  <c r="AK40" i="2" s="1"/>
  <c r="AI40" i="2"/>
  <c r="AJ39" i="2"/>
  <c r="Y37" i="2"/>
  <c r="AC35" i="2"/>
  <c r="AE29" i="2"/>
  <c r="U29" i="2" s="1"/>
  <c r="V29" i="2" s="1"/>
  <c r="AK29" i="2" s="1"/>
  <c r="AP27" i="2"/>
  <c r="AR20" i="2"/>
  <c r="AE18" i="2"/>
  <c r="U18" i="2" s="1"/>
  <c r="V18" i="2" s="1"/>
  <c r="AK18" i="2" s="1"/>
  <c r="Z17" i="2"/>
  <c r="Y17" i="2"/>
  <c r="AJ7" i="2"/>
  <c r="AE6" i="2"/>
  <c r="U6" i="2" s="1"/>
  <c r="V6" i="2" s="1"/>
  <c r="AK6" i="2" s="1"/>
  <c r="Z5" i="2"/>
  <c r="Y5" i="2"/>
  <c r="AQ57" i="2"/>
  <c r="AE57" i="2"/>
  <c r="U57" i="2" s="1"/>
  <c r="V57" i="2" s="1"/>
  <c r="AK57" i="2" s="1"/>
  <c r="AQ53" i="2"/>
  <c r="AE53" i="2"/>
  <c r="U53" i="2" s="1"/>
  <c r="V53" i="2" s="1"/>
  <c r="AK53" i="2" s="1"/>
  <c r="AQ49" i="2"/>
  <c r="AE49" i="2"/>
  <c r="U49" i="2" s="1"/>
  <c r="V49" i="2" s="1"/>
  <c r="AK49" i="2" s="1"/>
  <c r="AR41" i="2"/>
  <c r="AD36" i="2"/>
  <c r="AJ30" i="2"/>
  <c r="AF27" i="2"/>
  <c r="AI27" i="2"/>
  <c r="AE27" i="2"/>
  <c r="U27" i="2" s="1"/>
  <c r="V27" i="2" s="1"/>
  <c r="AK27" i="2" s="1"/>
  <c r="AD23" i="2"/>
  <c r="AE13" i="2"/>
  <c r="U13" i="2" s="1"/>
  <c r="V13" i="2" s="1"/>
  <c r="AK13" i="2" s="1"/>
  <c r="AP11" i="2"/>
  <c r="AR8" i="2"/>
  <c r="Z31" i="2"/>
  <c r="AQ31" i="2"/>
  <c r="AF31" i="2"/>
  <c r="AI31" i="2"/>
  <c r="AE31" i="2"/>
  <c r="U31" i="2" s="1"/>
  <c r="V31" i="2" s="1"/>
  <c r="AK31" i="2" s="1"/>
  <c r="AJ14" i="2"/>
  <c r="AE46" i="2"/>
  <c r="U46" i="2" s="1"/>
  <c r="V46" i="2" s="1"/>
  <c r="AK46" i="2" s="1"/>
  <c r="AI39" i="2"/>
  <c r="AE39" i="2"/>
  <c r="U39" i="2" s="1"/>
  <c r="V39" i="2" s="1"/>
  <c r="AK39" i="2" s="1"/>
  <c r="Y32" i="2"/>
  <c r="AE22" i="2"/>
  <c r="U22" i="2" s="1"/>
  <c r="V22" i="2" s="1"/>
  <c r="AK22" i="2" s="1"/>
  <c r="Z21" i="2"/>
  <c r="Y21" i="2"/>
  <c r="AI8" i="2"/>
  <c r="AI63" i="2"/>
  <c r="AI59" i="2"/>
  <c r="AI55" i="2"/>
  <c r="AI51" i="2"/>
  <c r="AC39" i="2"/>
  <c r="AE38" i="2"/>
  <c r="U38" i="2" s="1"/>
  <c r="V38" i="2" s="1"/>
  <c r="AK38" i="2" s="1"/>
  <c r="AF38" i="2"/>
  <c r="AE17" i="2"/>
  <c r="U17" i="2" s="1"/>
  <c r="V17" i="2" s="1"/>
  <c r="AK17" i="2" s="1"/>
  <c r="AF15" i="2"/>
  <c r="AI15" i="2"/>
  <c r="AE15" i="2"/>
  <c r="U15" i="2" s="1"/>
  <c r="V15" i="2" s="1"/>
  <c r="AK15" i="2" s="1"/>
  <c r="AC11" i="2"/>
  <c r="AE10" i="2"/>
  <c r="U10" i="2" s="1"/>
  <c r="V10" i="2" s="1"/>
  <c r="AK10" i="2" s="1"/>
  <c r="Z9" i="2"/>
  <c r="Y9" i="2"/>
  <c r="AJ6" i="2"/>
  <c r="AR40" i="2"/>
  <c r="AC38" i="2"/>
  <c r="AE34" i="2"/>
  <c r="U34" i="2" s="1"/>
  <c r="V34" i="2" s="1"/>
  <c r="AK34" i="2" s="1"/>
  <c r="AR32" i="2"/>
  <c r="AD31" i="2"/>
  <c r="AR28" i="2"/>
  <c r="AF20" i="2"/>
  <c r="AJ18" i="2"/>
  <c r="AJ11" i="2"/>
  <c r="AR47" i="2"/>
  <c r="AR42" i="2"/>
  <c r="AR39" i="2"/>
  <c r="AC31" i="2"/>
  <c r="AE26" i="2"/>
  <c r="U26" i="2" s="1"/>
  <c r="V26" i="2" s="1"/>
  <c r="AK26" i="2" s="1"/>
  <c r="Z25" i="2"/>
  <c r="Y25" i="2"/>
  <c r="AR12" i="2"/>
  <c r="AF8" i="2"/>
  <c r="AC6" i="2"/>
  <c r="AF7" i="2"/>
  <c r="AC10" i="2"/>
  <c r="AC14" i="2"/>
  <c r="AC18" i="2"/>
  <c r="AC22" i="2"/>
  <c r="AC26" i="2"/>
  <c r="AC30" i="2"/>
  <c r="AC34" i="2"/>
  <c r="AD6" i="2"/>
  <c r="AD10" i="2"/>
  <c r="AD14" i="2"/>
  <c r="AD18" i="2"/>
  <c r="AD22" i="2"/>
  <c r="AD26" i="2"/>
  <c r="AD30" i="2"/>
  <c r="AI7" i="2"/>
  <c r="AF6" i="2"/>
  <c r="AC9" i="2"/>
  <c r="AC13" i="2"/>
  <c r="AC17" i="2"/>
  <c r="AC21" i="2"/>
  <c r="AC25" i="2"/>
  <c r="AC29" i="2"/>
  <c r="AC33" i="2"/>
  <c r="AC37" i="2"/>
  <c r="AC41" i="2"/>
  <c r="AD5" i="2"/>
  <c r="AD9" i="2"/>
  <c r="AD13" i="2"/>
  <c r="AD17" i="2"/>
  <c r="AD21" i="2"/>
  <c r="AD25" i="2"/>
  <c r="AD29" i="2"/>
  <c r="AE33" i="2"/>
  <c r="U33" i="2" s="1"/>
  <c r="V33" i="2" s="1"/>
  <c r="AK33" i="2" s="1"/>
  <c r="AI34" i="2"/>
  <c r="AC8" i="2"/>
  <c r="AF9" i="2"/>
  <c r="AC12" i="2"/>
  <c r="AF13" i="2"/>
  <c r="AC16" i="2"/>
  <c r="AF17" i="2"/>
  <c r="AC20" i="2"/>
  <c r="AF21" i="2"/>
  <c r="AC24" i="2"/>
  <c r="AF25" i="2"/>
  <c r="AC28" i="2"/>
  <c r="AF29" i="2"/>
  <c r="AC32" i="2"/>
  <c r="AF33" i="2"/>
  <c r="AC36" i="2"/>
  <c r="AD8" i="2"/>
  <c r="AD12" i="2"/>
  <c r="AD16" i="2"/>
  <c r="AD20" i="2"/>
  <c r="AD24" i="2"/>
  <c r="AD28" i="2"/>
  <c r="AD32" i="2"/>
  <c r="AE8" i="2"/>
  <c r="U8" i="2" s="1"/>
  <c r="V8" i="2" s="1"/>
  <c r="AK8" i="2" s="1"/>
  <c r="AI9" i="2"/>
  <c r="AE12" i="2"/>
  <c r="U12" i="2" s="1"/>
  <c r="V12" i="2" s="1"/>
  <c r="AK12" i="2" s="1"/>
  <c r="AE16" i="2"/>
  <c r="U16" i="2" s="1"/>
  <c r="V16" i="2" s="1"/>
  <c r="AK16" i="2" s="1"/>
  <c r="AI17" i="2"/>
  <c r="AE20" i="2"/>
  <c r="U20" i="2" s="1"/>
  <c r="V20" i="2" s="1"/>
  <c r="AK20" i="2" s="1"/>
  <c r="AI21" i="2"/>
  <c r="AE24" i="2"/>
  <c r="U24" i="2" s="1"/>
  <c r="V24" i="2" s="1"/>
  <c r="AK24" i="2" s="1"/>
  <c r="AE28" i="2"/>
  <c r="U28" i="2" s="1"/>
  <c r="V28" i="2" s="1"/>
  <c r="AK28" i="2" s="1"/>
  <c r="AI29" i="2"/>
  <c r="AI33" i="2"/>
  <c r="AI37" i="2"/>
  <c r="AI41" i="2"/>
  <c r="AE7" i="2"/>
  <c r="U7" i="2" s="1"/>
  <c r="V7" i="2" s="1"/>
  <c r="AK7" i="2" s="1"/>
  <c r="AI12" i="2"/>
  <c r="AI20" i="2"/>
  <c r="AI24" i="2"/>
  <c r="AI28" i="2"/>
  <c r="AI36" i="2"/>
  <c r="AI32" i="2"/>
  <c r="AQ36" i="2"/>
  <c r="AE36" i="2"/>
  <c r="U36" i="2" s="1"/>
  <c r="V36" i="2" s="1"/>
  <c r="AK36" i="2" s="1"/>
  <c r="AI5" i="2"/>
  <c r="Z19" i="2"/>
  <c r="Z15" i="2"/>
  <c r="Z11" i="2"/>
  <c r="Z7" i="2"/>
  <c r="AR5" i="2"/>
  <c r="AF5" i="2"/>
  <c r="AI30" i="2"/>
  <c r="AI26" i="2"/>
  <c r="AI22" i="2"/>
  <c r="AI18" i="2"/>
  <c r="AI14" i="2"/>
  <c r="AI10" i="2"/>
  <c r="AI6" i="2"/>
  <c r="AE5" i="2"/>
  <c r="U5" i="2" s="1"/>
  <c r="V5" i="2" s="1"/>
  <c r="AK5" i="2" s="1"/>
  <c r="Z36" i="2"/>
  <c r="AF34" i="2"/>
  <c r="Z32" i="2"/>
  <c r="AF30" i="2"/>
  <c r="Z28" i="2"/>
  <c r="AF26" i="2"/>
  <c r="Z24" i="2"/>
  <c r="AF22" i="2"/>
  <c r="Z20" i="2"/>
  <c r="AF18" i="2"/>
  <c r="Z16" i="2"/>
  <c r="AF14" i="2"/>
  <c r="Z12" i="2"/>
  <c r="AF10" i="2"/>
  <c r="Z8" i="2"/>
  <c r="AR6" i="2"/>
  <c r="AC5" i="2"/>
  <c r="AI4" i="2"/>
  <c r="AC4" i="2"/>
  <c r="AD4" i="2"/>
  <c r="AP4" i="2"/>
  <c r="AE4" i="2"/>
  <c r="U4" i="2" s="1"/>
  <c r="V4" i="2" s="1"/>
  <c r="AK4" i="2" s="1"/>
  <c r="AQ4" i="2"/>
  <c r="P158" i="2" l="1"/>
  <c r="AD158" i="2"/>
  <c r="AE158" i="2"/>
  <c r="AK158" i="2" s="1"/>
  <c r="AJ27" i="2"/>
  <c r="AM159" i="2"/>
  <c r="AL159" i="2"/>
  <c r="AK9" i="2"/>
  <c r="AK161" i="2"/>
  <c r="AK60" i="2"/>
  <c r="AJ58" i="2"/>
  <c r="AK147" i="2"/>
  <c r="AJ54" i="2"/>
  <c r="AE84" i="2"/>
  <c r="U84" i="2" s="1"/>
  <c r="V84" i="2" s="1"/>
  <c r="AK84" i="2" s="1"/>
  <c r="AE110" i="2"/>
  <c r="U110" i="2" s="1"/>
  <c r="V110" i="2" s="1"/>
  <c r="AK110" i="2" s="1"/>
  <c r="AJ152" i="2"/>
  <c r="AJ44" i="2"/>
  <c r="AJ80" i="2"/>
  <c r="AE111" i="2"/>
  <c r="U111" i="2" s="1"/>
  <c r="V111" i="2" s="1"/>
  <c r="AK111" i="2" s="1"/>
  <c r="AE151" i="2"/>
  <c r="U151" i="2" s="1"/>
  <c r="V151" i="2" s="1"/>
  <c r="AK151" i="2" s="1"/>
  <c r="AK82" i="2"/>
  <c r="AJ108" i="2"/>
  <c r="AE152" i="2"/>
  <c r="U152" i="2" s="1"/>
  <c r="V152" i="2" s="1"/>
  <c r="AK152" i="2" s="1"/>
  <c r="AJ148" i="2"/>
  <c r="AE62" i="2"/>
  <c r="U62" i="2" s="1"/>
  <c r="V62" i="2" s="1"/>
  <c r="AK62" i="2" s="1"/>
  <c r="AD101" i="2"/>
  <c r="AE58" i="2"/>
  <c r="U58" i="2" s="1"/>
  <c r="V58" i="2" s="1"/>
  <c r="AK58" i="2" s="1"/>
  <c r="AE54" i="2"/>
  <c r="U54" i="2" s="1"/>
  <c r="V54" i="2" s="1"/>
  <c r="AK54" i="2" s="1"/>
  <c r="AJ66" i="2"/>
  <c r="AJ84" i="2"/>
  <c r="AJ133" i="2"/>
  <c r="AJ151" i="2"/>
  <c r="AJ50" i="2"/>
  <c r="AE50" i="2"/>
  <c r="U50" i="2" s="1"/>
  <c r="V50" i="2" s="1"/>
  <c r="AK50" i="2" s="1"/>
  <c r="AJ110" i="2"/>
  <c r="AJ122" i="2"/>
  <c r="AJ156" i="2"/>
  <c r="AJ74" i="2"/>
  <c r="AJ94" i="2"/>
  <c r="AD98" i="2"/>
  <c r="AJ140" i="2"/>
  <c r="AE44" i="2"/>
  <c r="U44" i="2" s="1"/>
  <c r="V44" i="2" s="1"/>
  <c r="AK44" i="2" s="1"/>
  <c r="AE144" i="2"/>
  <c r="U144" i="2" s="1"/>
  <c r="V144" i="2" s="1"/>
  <c r="AK144" i="2" s="1"/>
  <c r="AK48" i="2"/>
  <c r="AJ62" i="2"/>
  <c r="AK96" i="2"/>
  <c r="AE80" i="2"/>
  <c r="U80" i="2" s="1"/>
  <c r="V80" i="2" s="1"/>
  <c r="AK80" i="2" s="1"/>
  <c r="AJ111" i="2"/>
  <c r="AJ114" i="2"/>
  <c r="AJ126" i="2"/>
  <c r="AE140" i="2"/>
  <c r="U140" i="2" s="1"/>
  <c r="V140" i="2" s="1"/>
  <c r="AK140" i="2" s="1"/>
  <c r="AM4" i="2"/>
  <c r="AL4" i="2"/>
  <c r="AL5" i="2" l="1"/>
  <c r="AM5" i="2"/>
  <c r="AN159" i="2"/>
  <c r="AL160" i="2"/>
  <c r="AN160" i="2" s="1"/>
  <c r="AM160" i="2"/>
  <c r="AN4" i="2"/>
  <c r="AM6" i="2" l="1"/>
  <c r="AN5" i="2"/>
  <c r="AL6" i="2"/>
  <c r="AL161" i="2"/>
  <c r="AN161" i="2" s="1"/>
  <c r="AM161" i="2"/>
  <c r="AN6" i="2" l="1"/>
  <c r="AM7" i="2"/>
  <c r="AL7" i="2"/>
  <c r="AN7" i="2" l="1"/>
  <c r="AL8" i="2"/>
  <c r="AM8" i="2"/>
  <c r="AM9" i="2" l="1"/>
  <c r="AN8" i="2"/>
  <c r="AL9" i="2"/>
  <c r="AM10" i="2" l="1"/>
  <c r="AL10" i="2"/>
  <c r="AN9" i="2"/>
  <c r="AN10" i="2" l="1"/>
  <c r="AM11" i="2"/>
  <c r="AL11" i="2"/>
  <c r="AN11" i="2" l="1"/>
  <c r="AM12" i="2"/>
  <c r="AL12" i="2"/>
  <c r="AN12" i="2" l="1"/>
  <c r="AM13" i="2"/>
  <c r="AL13" i="2"/>
  <c r="AN13" i="2" l="1"/>
  <c r="AL14" i="2"/>
  <c r="AM14" i="2"/>
  <c r="AN14" i="2" l="1"/>
  <c r="AL15" i="2"/>
  <c r="AM15" i="2"/>
  <c r="AN15" i="2" l="1"/>
  <c r="AL16" i="2"/>
  <c r="AM16" i="2"/>
  <c r="AN16" i="2" l="1"/>
  <c r="AM17" i="2"/>
  <c r="AL17" i="2"/>
  <c r="AN17" i="2" l="1"/>
  <c r="AM18" i="2"/>
  <c r="AL18" i="2"/>
  <c r="AN18" i="2" l="1"/>
  <c r="AM19" i="2"/>
  <c r="AL19" i="2"/>
  <c r="AM20" i="2" l="1"/>
  <c r="AN19" i="2"/>
  <c r="AL20" i="2"/>
  <c r="AL21" i="2" l="1"/>
  <c r="AM21" i="2"/>
  <c r="AN20" i="2"/>
  <c r="AL22" i="2" l="1"/>
  <c r="AN21" i="2"/>
  <c r="AM22" i="2"/>
  <c r="AN22" i="2" l="1"/>
  <c r="AL23" i="2"/>
  <c r="AM23" i="2"/>
  <c r="AL24" i="2" l="1"/>
  <c r="AM24" i="2"/>
  <c r="AN23" i="2"/>
  <c r="AN24" i="2" l="1"/>
  <c r="AM25" i="2"/>
  <c r="AL25" i="2"/>
  <c r="AL26" i="2" l="1"/>
  <c r="AN25" i="2"/>
  <c r="AM26" i="2"/>
  <c r="AN26" i="2" l="1"/>
  <c r="AL27" i="2"/>
  <c r="AM27" i="2"/>
  <c r="AN27" i="2" l="1"/>
  <c r="AL28" i="2"/>
  <c r="AM28" i="2"/>
  <c r="AN28" i="2" l="1"/>
  <c r="AL29" i="2"/>
  <c r="AM29" i="2"/>
  <c r="AN29" i="2" l="1"/>
  <c r="AM30" i="2"/>
  <c r="AL30" i="2"/>
  <c r="AN30" i="2" l="1"/>
  <c r="AM31" i="2"/>
  <c r="AL31" i="2"/>
  <c r="AN31" i="2" l="1"/>
  <c r="AM32" i="2"/>
  <c r="AL32" i="2"/>
  <c r="AN32" i="2" l="1"/>
  <c r="AM33" i="2"/>
  <c r="AL33" i="2"/>
  <c r="AM34" i="2" l="1"/>
  <c r="AN33" i="2"/>
  <c r="AL34" i="2"/>
  <c r="AL35" i="2" l="1"/>
  <c r="AM35" i="2"/>
  <c r="AN34" i="2"/>
  <c r="AL36" i="2" l="1"/>
  <c r="AM36" i="2"/>
  <c r="AN35" i="2"/>
  <c r="AL37" i="2" l="1"/>
  <c r="AM37" i="2"/>
  <c r="AN36" i="2"/>
  <c r="AL38" i="2" l="1"/>
  <c r="AN37" i="2"/>
  <c r="AM38" i="2"/>
  <c r="AL39" i="2" l="1"/>
  <c r="AM39" i="2"/>
  <c r="AN38" i="2"/>
  <c r="AL40" i="2" l="1"/>
  <c r="AM40" i="2"/>
  <c r="AN39" i="2"/>
  <c r="AL41" i="2" l="1"/>
  <c r="AN40" i="2"/>
  <c r="AM41" i="2"/>
  <c r="AN41" i="2" l="1"/>
  <c r="AM42" i="2"/>
  <c r="AL42" i="2"/>
  <c r="AL43" i="2" l="1"/>
  <c r="AM43" i="2"/>
  <c r="AN42" i="2"/>
  <c r="AM44" i="2" l="1"/>
  <c r="AL44" i="2"/>
  <c r="AN43" i="2"/>
  <c r="AL45" i="2" l="1"/>
  <c r="AN44" i="2"/>
  <c r="AM45" i="2"/>
  <c r="AL46" i="2" l="1"/>
  <c r="AN45" i="2"/>
  <c r="AM46" i="2"/>
  <c r="AL47" i="2" l="1"/>
  <c r="AM47" i="2"/>
  <c r="AN46" i="2"/>
  <c r="AL48" i="2" l="1"/>
  <c r="AN47" i="2"/>
  <c r="AM48" i="2"/>
  <c r="AL49" i="2" l="1"/>
  <c r="AM49" i="2"/>
  <c r="AN48" i="2"/>
  <c r="AL50" i="2" l="1"/>
  <c r="AM50" i="2"/>
  <c r="AN49" i="2"/>
  <c r="AM51" i="2" l="1"/>
  <c r="AL51" i="2"/>
  <c r="AN50" i="2"/>
  <c r="AL52" i="2" l="1"/>
  <c r="AN51" i="2"/>
  <c r="AM52" i="2"/>
  <c r="AL53" i="2" l="1"/>
  <c r="AM53" i="2"/>
  <c r="AN52" i="2"/>
  <c r="AL54" i="2" l="1"/>
  <c r="AN53" i="2"/>
  <c r="AM54" i="2"/>
  <c r="AL55" i="2" l="1"/>
  <c r="AM55" i="2"/>
  <c r="AN54" i="2"/>
  <c r="AL56" i="2" l="1"/>
  <c r="AM56" i="2"/>
  <c r="AN55" i="2"/>
  <c r="AL57" i="2" l="1"/>
  <c r="AM57" i="2"/>
  <c r="AN56" i="2"/>
  <c r="AM58" i="2" l="1"/>
  <c r="AL58" i="2"/>
  <c r="AN57" i="2"/>
  <c r="AL59" i="2" l="1"/>
  <c r="AM59" i="2"/>
  <c r="AN58" i="2"/>
  <c r="AL60" i="2" l="1"/>
  <c r="AN59" i="2"/>
  <c r="AM60" i="2"/>
  <c r="AL61" i="2" l="1"/>
  <c r="AM61" i="2"/>
  <c r="AN60" i="2"/>
  <c r="AL62" i="2" l="1"/>
  <c r="AN61" i="2"/>
  <c r="AM62" i="2"/>
  <c r="AL63" i="2" l="1"/>
  <c r="AM63" i="2"/>
  <c r="AN62" i="2"/>
  <c r="AL64" i="2" l="1"/>
  <c r="AM64" i="2"/>
  <c r="AN63" i="2"/>
  <c r="AL65" i="2" l="1"/>
  <c r="AM65" i="2"/>
  <c r="AN64" i="2"/>
  <c r="AM66" i="2" l="1"/>
  <c r="AL66" i="2"/>
  <c r="AN65" i="2"/>
  <c r="AL67" i="2" l="1"/>
  <c r="AM67" i="2"/>
  <c r="AN66" i="2"/>
  <c r="AL68" i="2" l="1"/>
  <c r="AN67" i="2"/>
  <c r="AM68" i="2"/>
  <c r="AL69" i="2" l="1"/>
  <c r="AN68" i="2"/>
  <c r="AM69" i="2"/>
  <c r="AM70" i="2" l="1"/>
  <c r="AN69" i="2"/>
  <c r="AL70" i="2"/>
  <c r="AN70" i="2" l="1"/>
  <c r="AM71" i="2"/>
  <c r="AL71" i="2"/>
  <c r="AM72" i="2" l="1"/>
  <c r="AL72" i="2"/>
  <c r="AN71" i="2"/>
  <c r="AM73" i="2" l="1"/>
  <c r="AL73" i="2"/>
  <c r="AN72" i="2"/>
  <c r="AN73" i="2" l="1"/>
  <c r="AM74" i="2"/>
  <c r="AL74" i="2"/>
  <c r="AL75" i="2" l="1"/>
  <c r="AM75" i="2"/>
  <c r="AN74" i="2"/>
  <c r="AM76" i="2" l="1"/>
  <c r="AL76" i="2"/>
  <c r="AN75" i="2"/>
  <c r="AL77" i="2" l="1"/>
  <c r="AM77" i="2"/>
  <c r="AN76" i="2"/>
  <c r="AL78" i="2" l="1"/>
  <c r="AM78" i="2"/>
  <c r="AN77" i="2"/>
  <c r="AM79" i="2" l="1"/>
  <c r="AN78" i="2"/>
  <c r="AL79" i="2"/>
  <c r="AM80" i="2" l="1"/>
  <c r="AL80" i="2"/>
  <c r="AN79" i="2"/>
  <c r="AM81" i="2" l="1"/>
  <c r="AN80" i="2"/>
  <c r="AL81" i="2"/>
  <c r="AM82" i="2" l="1"/>
  <c r="AL82" i="2"/>
  <c r="AN81" i="2"/>
  <c r="AL83" i="2" l="1"/>
  <c r="AN82" i="2"/>
  <c r="AM83" i="2"/>
  <c r="AM84" i="2" l="1"/>
  <c r="AN83" i="2"/>
  <c r="AL84" i="2"/>
  <c r="AL85" i="2" l="1"/>
  <c r="AN84" i="2"/>
  <c r="AM85" i="2"/>
  <c r="AN85" i="2" l="1"/>
  <c r="AL86" i="2"/>
  <c r="AM86" i="2"/>
  <c r="AL87" i="2" l="1"/>
  <c r="AN86" i="2"/>
  <c r="AM87" i="2"/>
  <c r="AM88" i="2" l="1"/>
  <c r="AN87" i="2"/>
  <c r="AL88" i="2"/>
  <c r="AM89" i="2" l="1"/>
  <c r="AL89" i="2"/>
  <c r="AN88" i="2"/>
  <c r="AM90" i="2" l="1"/>
  <c r="AN89" i="2"/>
  <c r="AL90" i="2"/>
  <c r="AN90" i="2" l="1"/>
  <c r="AM91" i="2"/>
  <c r="AL91" i="2"/>
  <c r="AM92" i="2" l="1"/>
  <c r="AN91" i="2"/>
  <c r="AL92" i="2"/>
  <c r="AN92" i="2" l="1"/>
  <c r="AM93" i="2"/>
  <c r="AL93" i="2"/>
  <c r="AL94" i="2" l="1"/>
  <c r="AN93" i="2"/>
  <c r="AM94" i="2"/>
  <c r="AL95" i="2" l="1"/>
  <c r="AN94" i="2"/>
  <c r="AM95" i="2"/>
  <c r="AM96" i="2" l="1"/>
  <c r="AL96" i="2"/>
  <c r="AN95" i="2"/>
  <c r="AM97" i="2" l="1"/>
  <c r="AN96" i="2"/>
  <c r="AL97" i="2"/>
  <c r="AN97" i="2" l="1"/>
  <c r="AM98" i="2"/>
  <c r="AL98" i="2"/>
  <c r="AN98" i="2" l="1"/>
  <c r="AM99" i="2"/>
  <c r="AL99" i="2"/>
  <c r="AM100" i="2" l="1"/>
  <c r="AN99" i="2"/>
  <c r="AL100" i="2"/>
  <c r="AM101" i="2" l="1"/>
  <c r="AN100" i="2"/>
  <c r="AL101" i="2"/>
  <c r="AL102" i="2" l="1"/>
  <c r="AN101" i="2"/>
  <c r="AM102" i="2"/>
  <c r="AL103" i="2" l="1"/>
  <c r="AN102" i="2"/>
  <c r="AM103" i="2"/>
  <c r="AM104" i="2" l="1"/>
  <c r="AN103" i="2"/>
  <c r="AL104" i="2"/>
  <c r="AM105" i="2" l="1"/>
  <c r="AN104" i="2"/>
  <c r="AL105" i="2"/>
  <c r="AL106" i="2" l="1"/>
  <c r="AN105" i="2"/>
  <c r="AM106" i="2"/>
  <c r="AM107" i="2" l="1"/>
  <c r="AN106" i="2"/>
  <c r="AL107" i="2"/>
  <c r="AL108" i="2" l="1"/>
  <c r="AM108" i="2"/>
  <c r="AN107" i="2"/>
  <c r="AM109" i="2" l="1"/>
  <c r="AN108" i="2"/>
  <c r="AL109" i="2"/>
  <c r="AL110" i="2" l="1"/>
  <c r="AN109" i="2"/>
  <c r="AM110" i="2"/>
  <c r="AL111" i="2" l="1"/>
  <c r="AN110" i="2"/>
  <c r="AM111" i="2"/>
  <c r="AL112" i="2" l="1"/>
  <c r="AN111" i="2"/>
  <c r="AM112" i="2"/>
  <c r="AL113" i="2" l="1"/>
  <c r="AN112" i="2"/>
  <c r="AM113" i="2"/>
  <c r="AL114" i="2" l="1"/>
  <c r="AM114" i="2"/>
  <c r="AN113" i="2"/>
  <c r="AL115" i="2" l="1"/>
  <c r="AM115" i="2"/>
  <c r="AN114" i="2"/>
  <c r="AL116" i="2" l="1"/>
  <c r="AN115" i="2"/>
  <c r="AM116" i="2"/>
  <c r="AL117" i="2" l="1"/>
  <c r="AN116" i="2"/>
  <c r="AM117" i="2"/>
  <c r="AL118" i="2" l="1"/>
  <c r="AN117" i="2"/>
  <c r="AM118" i="2"/>
  <c r="AL119" i="2" l="1"/>
  <c r="AN118" i="2"/>
  <c r="AM119" i="2"/>
  <c r="AN119" i="2" l="1"/>
  <c r="AL120" i="2"/>
  <c r="AM120" i="2"/>
  <c r="AL121" i="2" l="1"/>
  <c r="AN120" i="2"/>
  <c r="AM121" i="2"/>
  <c r="AL122" i="2" l="1"/>
  <c r="AM122" i="2"/>
  <c r="AN121" i="2"/>
  <c r="AL123" i="2" l="1"/>
  <c r="AN122" i="2"/>
  <c r="AM123" i="2"/>
  <c r="AN123" i="2" l="1"/>
  <c r="AL124" i="2"/>
  <c r="AM124" i="2"/>
  <c r="AM125" i="2" l="1"/>
  <c r="AL125" i="2"/>
  <c r="AN124" i="2"/>
  <c r="AL126" i="2" l="1"/>
  <c r="AN125" i="2"/>
  <c r="AM126" i="2"/>
  <c r="AL127" i="2" l="1"/>
  <c r="AN126" i="2"/>
  <c r="AM127" i="2"/>
  <c r="AL128" i="2" l="1"/>
  <c r="AN127" i="2"/>
  <c r="AM128" i="2"/>
  <c r="AL129" i="2" l="1"/>
  <c r="AM129" i="2"/>
  <c r="AN128" i="2"/>
  <c r="AL130" i="2" l="1"/>
  <c r="AM130" i="2"/>
  <c r="AN129" i="2"/>
  <c r="AM131" i="2" l="1"/>
  <c r="AL131" i="2"/>
  <c r="AN130" i="2"/>
  <c r="AL132" i="2" l="1"/>
  <c r="AN131" i="2"/>
  <c r="AM132" i="2"/>
  <c r="AL133" i="2" l="1"/>
  <c r="AN132" i="2"/>
  <c r="AM133" i="2"/>
  <c r="AM134" i="2" l="1"/>
  <c r="AN133" i="2"/>
  <c r="AL134" i="2"/>
  <c r="AL135" i="2" l="1"/>
  <c r="AN134" i="2"/>
  <c r="AM135" i="2"/>
  <c r="AL136" i="2" l="1"/>
  <c r="AN135" i="2"/>
  <c r="AM136" i="2"/>
  <c r="AL137" i="2" l="1"/>
  <c r="AN136" i="2"/>
  <c r="AM137" i="2"/>
  <c r="AM138" i="2" l="1"/>
  <c r="AN137" i="2"/>
  <c r="AL138" i="2"/>
  <c r="AL139" i="2" l="1"/>
  <c r="AN138" i="2"/>
  <c r="AM139" i="2"/>
  <c r="AM140" i="2" l="1"/>
  <c r="AN139" i="2"/>
  <c r="AL140" i="2"/>
  <c r="AL141" i="2" l="1"/>
  <c r="AN140" i="2"/>
  <c r="AM141" i="2"/>
  <c r="AL142" i="2" l="1"/>
  <c r="AN141" i="2"/>
  <c r="AM142" i="2"/>
  <c r="AL143" i="2" l="1"/>
  <c r="AN142" i="2"/>
  <c r="AM143" i="2"/>
  <c r="AM144" i="2" l="1"/>
  <c r="AN143" i="2"/>
  <c r="AL144" i="2"/>
  <c r="AL145" i="2" l="1"/>
  <c r="AN144" i="2"/>
  <c r="AM145" i="2"/>
  <c r="AL146" i="2" l="1"/>
  <c r="AN145" i="2"/>
  <c r="AM146" i="2"/>
  <c r="AM147" i="2" l="1"/>
  <c r="AL147" i="2"/>
  <c r="AN146" i="2"/>
  <c r="AM148" i="2" l="1"/>
  <c r="AN147" i="2"/>
  <c r="AL148" i="2"/>
  <c r="AN148" i="2" l="1"/>
  <c r="AM149" i="2"/>
  <c r="AL149" i="2"/>
  <c r="AM150" i="2" l="1"/>
  <c r="AL150" i="2"/>
  <c r="AN149" i="2"/>
  <c r="AM151" i="2" l="1"/>
  <c r="AN150" i="2"/>
  <c r="AL151" i="2"/>
  <c r="AN151" i="2" l="1"/>
  <c r="AL152" i="2"/>
  <c r="AM152" i="2"/>
  <c r="AM153" i="2" l="1"/>
  <c r="AN152" i="2"/>
  <c r="AL153" i="2"/>
  <c r="AM154" i="2" l="1"/>
  <c r="AN153" i="2"/>
  <c r="AL154" i="2"/>
  <c r="AM155" i="2" l="1"/>
  <c r="AL155" i="2"/>
  <c r="AN154" i="2"/>
  <c r="AL156" i="2" l="1"/>
  <c r="AN155" i="2"/>
  <c r="AM156" i="2"/>
  <c r="AL157" i="2" l="1"/>
  <c r="AM157" i="2"/>
  <c r="AN156" i="2"/>
  <c r="AN157" i="2" l="1"/>
  <c r="AN158" i="2"/>
  <c r="BL161" i="2" l="1"/>
  <c r="BL58" i="2"/>
  <c r="BL59" i="2"/>
  <c r="BL60" i="2"/>
  <c r="BL61" i="2"/>
  <c r="BL62" i="2"/>
  <c r="BL63" i="2"/>
  <c r="BL64" i="2"/>
  <c r="BL65" i="2"/>
  <c r="BL66" i="2"/>
  <c r="BL67" i="2"/>
  <c r="BL68" i="2"/>
  <c r="BL69" i="2"/>
  <c r="BL70" i="2"/>
  <c r="BL71" i="2"/>
  <c r="BL72" i="2"/>
  <c r="BL73" i="2"/>
  <c r="BL74" i="2"/>
  <c r="BL75" i="2"/>
  <c r="BL76" i="2"/>
  <c r="BL77" i="2"/>
  <c r="BL78" i="2"/>
  <c r="BL79" i="2"/>
  <c r="BL80" i="2"/>
  <c r="BL81" i="2"/>
  <c r="BL82" i="2"/>
  <c r="BL83" i="2"/>
  <c r="BF5" i="2"/>
  <c r="BF6" i="2"/>
  <c r="BF7" i="2"/>
  <c r="BF8" i="2"/>
  <c r="BF9" i="2"/>
  <c r="BF10" i="2"/>
  <c r="BF11" i="2"/>
  <c r="BF12" i="2"/>
  <c r="BF13" i="2"/>
  <c r="BF14" i="2"/>
  <c r="BF15" i="2"/>
  <c r="BF16" i="2"/>
  <c r="BF17" i="2"/>
  <c r="BF18" i="2"/>
  <c r="BF19" i="2"/>
  <c r="BF20" i="2"/>
  <c r="BF21" i="2"/>
  <c r="BF22" i="2"/>
  <c r="BF23" i="2"/>
  <c r="BF24" i="2"/>
  <c r="BF25" i="2"/>
  <c r="BF26" i="2"/>
  <c r="BF27" i="2"/>
  <c r="BF28" i="2"/>
  <c r="BF29" i="2"/>
  <c r="BF30" i="2"/>
  <c r="BF31" i="2"/>
  <c r="BF32" i="2"/>
  <c r="BF33" i="2"/>
  <c r="BF34" i="2"/>
  <c r="BF35" i="2"/>
  <c r="BF36" i="2"/>
  <c r="BF37" i="2"/>
  <c r="BF38" i="2"/>
  <c r="BF39" i="2"/>
  <c r="BF40" i="2"/>
  <c r="BF41" i="2"/>
  <c r="BF42" i="2"/>
  <c r="BF43" i="2"/>
  <c r="BF44" i="2"/>
  <c r="BF45" i="2"/>
  <c r="BF46" i="2"/>
  <c r="BF47" i="2"/>
  <c r="BF48" i="2"/>
  <c r="BF49" i="2"/>
  <c r="BF50" i="2"/>
  <c r="BF51" i="2"/>
  <c r="BF52" i="2"/>
  <c r="BF53" i="2"/>
  <c r="BF54" i="2"/>
  <c r="BF55" i="2"/>
  <c r="BF56" i="2"/>
  <c r="BF57" i="2"/>
  <c r="BF58" i="2"/>
  <c r="BF59" i="2"/>
  <c r="BF60" i="2"/>
  <c r="BF61" i="2"/>
  <c r="BF62" i="2"/>
  <c r="BF63" i="2"/>
  <c r="BF64" i="2"/>
  <c r="BF65" i="2"/>
  <c r="BF66" i="2"/>
  <c r="BF67" i="2"/>
  <c r="BF68" i="2"/>
  <c r="BF69" i="2"/>
  <c r="BF70" i="2"/>
  <c r="BF71" i="2"/>
  <c r="BF72" i="2"/>
  <c r="BF73" i="2"/>
  <c r="BF74" i="2"/>
  <c r="BF75" i="2"/>
  <c r="BF76" i="2"/>
  <c r="BF77" i="2"/>
  <c r="BF78" i="2"/>
  <c r="BF79" i="2"/>
  <c r="BF80" i="2"/>
  <c r="BF81" i="2"/>
  <c r="BF82" i="2"/>
  <c r="BF83" i="2"/>
  <c r="BF84" i="2"/>
  <c r="BF85" i="2"/>
  <c r="BF86" i="2"/>
  <c r="BF87" i="2"/>
  <c r="BF88" i="2"/>
  <c r="BF89" i="2"/>
  <c r="BF90" i="2"/>
  <c r="BF91" i="2"/>
  <c r="BF92" i="2"/>
  <c r="BF93" i="2"/>
  <c r="BF94" i="2"/>
  <c r="BF95" i="2"/>
  <c r="BF96" i="2"/>
  <c r="BF97" i="2"/>
  <c r="BF98" i="2"/>
  <c r="BF99" i="2"/>
  <c r="BF100" i="2"/>
  <c r="BF101" i="2"/>
  <c r="BF102" i="2"/>
  <c r="BF103" i="2"/>
  <c r="BF104" i="2"/>
  <c r="BF105" i="2"/>
  <c r="BF106" i="2"/>
  <c r="BF107" i="2"/>
  <c r="BF108" i="2"/>
  <c r="BF109" i="2"/>
  <c r="BF110" i="2"/>
  <c r="BF111" i="2"/>
  <c r="BF112" i="2"/>
  <c r="BF113" i="2"/>
  <c r="BF114" i="2"/>
  <c r="BF115" i="2"/>
  <c r="BF116" i="2"/>
  <c r="BF117" i="2"/>
  <c r="BF118" i="2"/>
  <c r="BF119" i="2"/>
  <c r="BF120" i="2"/>
  <c r="BF121" i="2"/>
  <c r="BF122" i="2"/>
  <c r="BF123" i="2"/>
  <c r="BF124" i="2"/>
  <c r="BF125" i="2"/>
  <c r="BF126" i="2"/>
  <c r="BF127" i="2"/>
  <c r="BF128" i="2"/>
  <c r="BF129" i="2"/>
  <c r="BF130" i="2"/>
  <c r="BF131" i="2"/>
  <c r="BF132" i="2"/>
  <c r="BF133" i="2"/>
  <c r="BF134" i="2"/>
  <c r="BF135" i="2"/>
  <c r="BF136" i="2"/>
  <c r="BF137" i="2"/>
  <c r="BF138" i="2"/>
  <c r="BF139" i="2"/>
  <c r="BF140" i="2"/>
  <c r="BF141" i="2"/>
  <c r="BF142" i="2"/>
  <c r="BF143" i="2"/>
  <c r="BF144" i="2"/>
  <c r="BF145" i="2"/>
  <c r="BF146" i="2"/>
  <c r="BF147" i="2"/>
  <c r="BF148" i="2"/>
  <c r="BF149" i="2"/>
  <c r="BF150" i="2"/>
  <c r="BF151" i="2"/>
  <c r="BF152" i="2"/>
  <c r="BF153" i="2"/>
  <c r="BF154" i="2"/>
  <c r="BF155" i="2"/>
  <c r="BF156" i="2"/>
  <c r="BF157" i="2"/>
  <c r="BF158" i="2"/>
  <c r="BF159" i="2"/>
  <c r="BF160" i="2"/>
  <c r="BF161" i="2"/>
  <c r="BF4" i="2"/>
  <c r="BG5" i="2"/>
  <c r="BG6" i="2"/>
  <c r="BG7" i="2"/>
  <c r="BG8" i="2"/>
  <c r="BG9" i="2"/>
  <c r="BG10" i="2"/>
  <c r="BG11" i="2"/>
  <c r="BG12" i="2"/>
  <c r="BG13" i="2"/>
  <c r="BG14" i="2"/>
  <c r="BG15" i="2"/>
  <c r="BG16" i="2"/>
  <c r="BG17" i="2"/>
  <c r="BG18" i="2"/>
  <c r="BG19" i="2"/>
  <c r="BG20" i="2"/>
  <c r="BG21" i="2"/>
  <c r="BG22" i="2"/>
  <c r="BG23" i="2"/>
  <c r="BG24" i="2"/>
  <c r="BG25" i="2"/>
  <c r="BG26" i="2"/>
  <c r="BG27" i="2"/>
  <c r="BG28" i="2"/>
  <c r="BG29" i="2"/>
  <c r="BG30" i="2"/>
  <c r="BG31" i="2"/>
  <c r="BG32" i="2"/>
  <c r="BG33" i="2"/>
  <c r="BG34" i="2"/>
  <c r="BG35" i="2"/>
  <c r="BG36" i="2"/>
  <c r="BG37" i="2"/>
  <c r="BG38" i="2"/>
  <c r="BG39" i="2"/>
  <c r="BG40" i="2"/>
  <c r="BG41" i="2"/>
  <c r="BG42" i="2"/>
  <c r="BG43" i="2"/>
  <c r="BG44" i="2"/>
  <c r="BG45" i="2"/>
  <c r="BG46" i="2"/>
  <c r="BG47" i="2"/>
  <c r="BG48" i="2"/>
  <c r="BG49" i="2"/>
  <c r="BG50" i="2"/>
  <c r="BG51" i="2"/>
  <c r="BG52" i="2"/>
  <c r="BG53" i="2"/>
  <c r="BG54" i="2"/>
  <c r="BG55" i="2"/>
  <c r="BG56" i="2"/>
  <c r="BG57" i="2"/>
  <c r="BG58" i="2"/>
  <c r="BG59" i="2"/>
  <c r="BG60" i="2"/>
  <c r="BG61" i="2"/>
  <c r="BG62" i="2"/>
  <c r="BG63" i="2"/>
  <c r="BG64" i="2"/>
  <c r="BG65" i="2"/>
  <c r="BG66" i="2"/>
  <c r="BG67" i="2"/>
  <c r="BG68" i="2"/>
  <c r="BG69" i="2"/>
  <c r="BG70" i="2"/>
  <c r="BG71" i="2"/>
  <c r="BG72" i="2"/>
  <c r="BG73" i="2"/>
  <c r="BG74" i="2"/>
  <c r="BG75" i="2"/>
  <c r="BG76" i="2"/>
  <c r="BG77" i="2"/>
  <c r="BG78" i="2"/>
  <c r="BG79" i="2"/>
  <c r="BG80" i="2"/>
  <c r="BG81" i="2"/>
  <c r="BG82" i="2"/>
  <c r="BG83" i="2"/>
  <c r="BG84" i="2"/>
  <c r="BG85" i="2"/>
  <c r="BG86" i="2"/>
  <c r="BG87" i="2"/>
  <c r="BG88" i="2"/>
  <c r="BG89" i="2"/>
  <c r="BG90" i="2"/>
  <c r="BG91" i="2"/>
  <c r="BG92" i="2"/>
  <c r="BG93" i="2"/>
  <c r="BG94" i="2"/>
  <c r="BG95" i="2"/>
  <c r="BG96" i="2"/>
  <c r="BG97" i="2"/>
  <c r="BG98" i="2"/>
  <c r="BG99" i="2"/>
  <c r="BG100" i="2"/>
  <c r="BG101" i="2"/>
  <c r="BG102" i="2"/>
  <c r="BG103" i="2"/>
  <c r="BG104" i="2"/>
  <c r="BG105" i="2"/>
  <c r="BG106" i="2"/>
  <c r="BG107" i="2"/>
  <c r="BG108" i="2"/>
  <c r="BG109" i="2"/>
  <c r="BG110" i="2"/>
  <c r="BG111" i="2"/>
  <c r="BG112" i="2"/>
  <c r="BG113" i="2"/>
  <c r="BG114" i="2"/>
  <c r="BG115" i="2"/>
  <c r="BG116" i="2"/>
  <c r="BG117" i="2"/>
  <c r="BG118" i="2"/>
  <c r="BG119" i="2"/>
  <c r="BG120" i="2"/>
  <c r="BG121" i="2"/>
  <c r="BG122" i="2"/>
  <c r="BG123" i="2"/>
  <c r="BG124" i="2"/>
  <c r="BG125" i="2"/>
  <c r="BG126" i="2"/>
  <c r="BG127" i="2"/>
  <c r="BG128" i="2"/>
  <c r="BG129" i="2"/>
  <c r="BG130" i="2"/>
  <c r="BG131" i="2"/>
  <c r="BG132" i="2"/>
  <c r="BG133" i="2"/>
  <c r="BG134" i="2"/>
  <c r="BG135" i="2"/>
  <c r="BG136" i="2"/>
  <c r="BG137" i="2"/>
  <c r="BG138" i="2"/>
  <c r="BG139" i="2"/>
  <c r="BG140" i="2"/>
  <c r="BG141" i="2"/>
  <c r="BG142" i="2"/>
  <c r="BG143" i="2"/>
  <c r="BG144" i="2"/>
  <c r="BG145" i="2"/>
  <c r="BG146" i="2"/>
  <c r="BG147" i="2"/>
  <c r="BG148" i="2"/>
  <c r="BG149" i="2"/>
  <c r="BG150" i="2"/>
  <c r="BG151" i="2"/>
  <c r="BG152" i="2"/>
  <c r="BG153" i="2"/>
  <c r="BG154" i="2"/>
  <c r="BG155" i="2"/>
  <c r="BG156" i="2"/>
  <c r="BG157" i="2"/>
  <c r="BG158" i="2"/>
  <c r="BG159" i="2"/>
  <c r="BG160" i="2"/>
  <c r="BG161" i="2"/>
  <c r="BG4" i="2"/>
  <c r="BH5" i="2"/>
  <c r="BH6" i="2"/>
  <c r="BH7" i="2"/>
  <c r="BH8" i="2"/>
  <c r="BH9" i="2"/>
  <c r="BH10" i="2"/>
  <c r="BH11" i="2"/>
  <c r="BH12" i="2"/>
  <c r="BH13" i="2"/>
  <c r="BH14" i="2"/>
  <c r="BH15" i="2"/>
  <c r="BH16" i="2"/>
  <c r="BH17" i="2"/>
  <c r="BH18" i="2"/>
  <c r="BH19" i="2"/>
  <c r="BH20" i="2"/>
  <c r="BH21" i="2"/>
  <c r="BH22" i="2"/>
  <c r="BH23" i="2"/>
  <c r="BH24" i="2"/>
  <c r="BH25" i="2"/>
  <c r="BH26" i="2"/>
  <c r="BH27" i="2"/>
  <c r="BH28" i="2"/>
  <c r="BH29" i="2"/>
  <c r="BH30" i="2"/>
  <c r="BH31" i="2"/>
  <c r="BH32" i="2"/>
  <c r="BH33" i="2"/>
  <c r="BH34" i="2"/>
  <c r="BH35" i="2"/>
  <c r="BH36" i="2"/>
  <c r="BH37" i="2"/>
  <c r="BH38" i="2"/>
  <c r="BH39" i="2"/>
  <c r="BH40" i="2"/>
  <c r="BH41" i="2"/>
  <c r="BH42" i="2"/>
  <c r="BH43" i="2"/>
  <c r="BH44" i="2"/>
  <c r="BH45" i="2"/>
  <c r="BH46" i="2"/>
  <c r="BH47" i="2"/>
  <c r="BH48" i="2"/>
  <c r="BH49" i="2"/>
  <c r="BH50" i="2"/>
  <c r="BH51" i="2"/>
  <c r="BH52" i="2"/>
  <c r="BH53" i="2"/>
  <c r="BH54" i="2"/>
  <c r="BH55" i="2"/>
  <c r="BH56" i="2"/>
  <c r="BH57" i="2"/>
  <c r="BH58" i="2"/>
  <c r="BH59" i="2"/>
  <c r="BH60" i="2"/>
  <c r="BH61" i="2"/>
  <c r="BH62" i="2"/>
  <c r="BH63" i="2"/>
  <c r="BH64" i="2"/>
  <c r="BH65" i="2"/>
  <c r="BH66" i="2"/>
  <c r="BH67" i="2"/>
  <c r="BH68" i="2"/>
  <c r="BH69" i="2"/>
  <c r="BH70" i="2"/>
  <c r="BH71" i="2"/>
  <c r="BH72" i="2"/>
  <c r="BH73" i="2"/>
  <c r="BH74" i="2"/>
  <c r="BH75" i="2"/>
  <c r="BH76" i="2"/>
  <c r="BH77" i="2"/>
  <c r="BH78" i="2"/>
  <c r="BH79" i="2"/>
  <c r="BH80" i="2"/>
  <c r="BI80" i="2" s="1"/>
  <c r="BH81" i="2"/>
  <c r="BH82" i="2"/>
  <c r="BH83" i="2"/>
  <c r="BI83" i="2" s="1"/>
  <c r="BH84" i="2"/>
  <c r="BJ84" i="2" s="1"/>
  <c r="BH85" i="2"/>
  <c r="BH86" i="2"/>
  <c r="BH87" i="2"/>
  <c r="BH88" i="2"/>
  <c r="BH89" i="2"/>
  <c r="BH90" i="2"/>
  <c r="BH91" i="2"/>
  <c r="BI91" i="2" s="1"/>
  <c r="BH92" i="2"/>
  <c r="BH93" i="2"/>
  <c r="BH94" i="2"/>
  <c r="BH95" i="2"/>
  <c r="BI95" i="2" s="1"/>
  <c r="BH96" i="2"/>
  <c r="BJ96" i="2" s="1"/>
  <c r="BH97" i="2"/>
  <c r="BH98" i="2"/>
  <c r="BH99" i="2"/>
  <c r="BH100" i="2"/>
  <c r="BH101" i="2"/>
  <c r="BH102" i="2"/>
  <c r="BH103" i="2"/>
  <c r="BH104" i="2"/>
  <c r="BJ104" i="2" s="1"/>
  <c r="BH105" i="2"/>
  <c r="BH106" i="2"/>
  <c r="BH107" i="2"/>
  <c r="BJ107" i="2" s="1"/>
  <c r="BH108" i="2"/>
  <c r="BI108" i="2" s="1"/>
  <c r="BH109" i="2"/>
  <c r="BH110" i="2"/>
  <c r="BH111" i="2"/>
  <c r="BH112" i="2"/>
  <c r="BH113" i="2"/>
  <c r="BH114" i="2"/>
  <c r="BH115" i="2"/>
  <c r="BH116" i="2"/>
  <c r="BJ116" i="2" s="1"/>
  <c r="BH117" i="2"/>
  <c r="BH118" i="2"/>
  <c r="BH119" i="2"/>
  <c r="BH120" i="2"/>
  <c r="BH121" i="2"/>
  <c r="BH122" i="2"/>
  <c r="BH123" i="2"/>
  <c r="BH124" i="2"/>
  <c r="BH125" i="2"/>
  <c r="BH126" i="2"/>
  <c r="BH127" i="2"/>
  <c r="BH128" i="2"/>
  <c r="BJ128" i="2" s="1"/>
  <c r="BH129" i="2"/>
  <c r="BH130" i="2"/>
  <c r="BH131" i="2"/>
  <c r="BI131" i="2" s="1"/>
  <c r="BH132" i="2"/>
  <c r="BJ132" i="2" s="1"/>
  <c r="BH133" i="2"/>
  <c r="BH134" i="2"/>
  <c r="BH135" i="2"/>
  <c r="BH136" i="2"/>
  <c r="BH137" i="2"/>
  <c r="BH138" i="2"/>
  <c r="BH139" i="2"/>
  <c r="BI139" i="2" s="1"/>
  <c r="BH140" i="2"/>
  <c r="BI140" i="2" s="1"/>
  <c r="BH141" i="2"/>
  <c r="BH142" i="2"/>
  <c r="BH143" i="2"/>
  <c r="BI143" i="2" s="1"/>
  <c r="BH144" i="2"/>
  <c r="BJ144" i="2" s="1"/>
  <c r="BH145" i="2"/>
  <c r="BH146" i="2"/>
  <c r="BH147" i="2"/>
  <c r="BH148" i="2"/>
  <c r="BH149" i="2"/>
  <c r="BI149" i="2" s="1"/>
  <c r="BH150" i="2"/>
  <c r="BH151" i="2"/>
  <c r="BH152" i="2"/>
  <c r="BI152" i="2" s="1"/>
  <c r="BH153" i="2"/>
  <c r="BH154" i="2"/>
  <c r="BH155" i="2"/>
  <c r="BI155" i="2" s="1"/>
  <c r="BH156" i="2"/>
  <c r="BH157" i="2"/>
  <c r="BH158" i="2"/>
  <c r="BH159" i="2"/>
  <c r="BH160" i="2"/>
  <c r="BH161" i="2"/>
  <c r="BH4" i="2"/>
  <c r="BL157" i="2"/>
  <c r="BL159" i="2"/>
  <c r="BL160" i="2"/>
  <c r="BD79" i="2" a="1"/>
  <c r="BD79" i="2" s="1"/>
  <c r="BD85" i="2" a="1"/>
  <c r="BD85" i="2" s="1"/>
  <c r="BD86" i="2" a="1"/>
  <c r="BD86" i="2" s="1"/>
  <c r="BD91" i="2" a="1"/>
  <c r="BD91" i="2" s="1"/>
  <c r="BD97" i="2" a="1"/>
  <c r="BD97" i="2" s="1"/>
  <c r="BD98" i="2" a="1"/>
  <c r="BD98" i="2" s="1"/>
  <c r="BD103" i="2" a="1"/>
  <c r="BD103" i="2" s="1"/>
  <c r="BD109" i="2" a="1"/>
  <c r="BD109" i="2" s="1"/>
  <c r="BD110" i="2" a="1"/>
  <c r="BD110" i="2" s="1"/>
  <c r="BD115" i="2" a="1"/>
  <c r="BD115" i="2" s="1"/>
  <c r="BD121" i="2" a="1"/>
  <c r="BD121" i="2" s="1"/>
  <c r="BD122" i="2" a="1"/>
  <c r="BD122" i="2" s="1"/>
  <c r="BD127" i="2" a="1"/>
  <c r="BD127" i="2" s="1"/>
  <c r="BD133" i="2" a="1"/>
  <c r="BD133" i="2" s="1"/>
  <c r="BD134" i="2" a="1"/>
  <c r="BD134" i="2" s="1"/>
  <c r="BD139" i="2" a="1"/>
  <c r="BD139" i="2" s="1"/>
  <c r="BD145" i="2" a="1"/>
  <c r="BD145" i="2" s="1"/>
  <c r="BD146" i="2" a="1"/>
  <c r="BD146" i="2" s="1"/>
  <c r="BD151" i="2" a="1"/>
  <c r="BD151" i="2" s="1"/>
  <c r="BD157" i="2" a="1"/>
  <c r="BD157" i="2" s="1"/>
  <c r="BB105" i="2"/>
  <c r="BB135" i="2"/>
  <c r="BB141" i="2"/>
  <c r="BA76" i="2"/>
  <c r="BA77" i="2"/>
  <c r="BA78" i="2"/>
  <c r="BA79" i="2"/>
  <c r="BA80" i="2"/>
  <c r="BA81" i="2"/>
  <c r="BA82" i="2"/>
  <c r="BA83" i="2"/>
  <c r="BA84" i="2"/>
  <c r="BA85" i="2"/>
  <c r="BA86" i="2"/>
  <c r="BA87" i="2"/>
  <c r="BA88" i="2"/>
  <c r="BA89" i="2"/>
  <c r="BA90" i="2"/>
  <c r="BA91" i="2"/>
  <c r="BA92" i="2"/>
  <c r="BA93" i="2"/>
  <c r="BA94" i="2"/>
  <c r="BA95" i="2"/>
  <c r="BA96" i="2"/>
  <c r="BA97" i="2"/>
  <c r="BA98" i="2"/>
  <c r="BA99" i="2"/>
  <c r="BA100" i="2"/>
  <c r="BA101" i="2"/>
  <c r="BA102" i="2"/>
  <c r="BA103" i="2"/>
  <c r="BA104" i="2"/>
  <c r="BA105" i="2"/>
  <c r="BA106" i="2"/>
  <c r="BA107" i="2"/>
  <c r="BA108" i="2"/>
  <c r="BA109" i="2"/>
  <c r="BA110" i="2"/>
  <c r="BA111" i="2"/>
  <c r="BA112" i="2"/>
  <c r="BA113" i="2"/>
  <c r="BA114" i="2"/>
  <c r="BA115" i="2"/>
  <c r="BA116" i="2"/>
  <c r="BA117" i="2"/>
  <c r="BA118" i="2"/>
  <c r="BA119" i="2"/>
  <c r="BA120" i="2"/>
  <c r="BA121" i="2"/>
  <c r="BA122" i="2"/>
  <c r="BA123" i="2"/>
  <c r="BA124" i="2"/>
  <c r="BA125" i="2"/>
  <c r="BA126" i="2"/>
  <c r="BA127" i="2"/>
  <c r="BA128" i="2"/>
  <c r="BA129" i="2"/>
  <c r="BA130" i="2"/>
  <c r="BA131" i="2"/>
  <c r="BA132" i="2"/>
  <c r="BA133" i="2"/>
  <c r="BA134" i="2"/>
  <c r="BA135" i="2"/>
  <c r="BA136" i="2"/>
  <c r="BA137" i="2"/>
  <c r="BA138" i="2"/>
  <c r="BA139" i="2"/>
  <c r="BA140" i="2"/>
  <c r="BA141" i="2"/>
  <c r="BA142" i="2"/>
  <c r="BA143" i="2"/>
  <c r="BA144" i="2"/>
  <c r="BA145" i="2"/>
  <c r="BA146" i="2"/>
  <c r="BA147" i="2"/>
  <c r="BA148" i="2"/>
  <c r="BA149" i="2"/>
  <c r="BA150" i="2"/>
  <c r="BA151" i="2"/>
  <c r="BA152" i="2"/>
  <c r="BA153" i="2"/>
  <c r="BA154" i="2"/>
  <c r="BA155" i="2"/>
  <c r="BA156" i="2"/>
  <c r="BA157" i="2"/>
  <c r="BA159" i="2"/>
  <c r="BA160" i="2"/>
  <c r="BA161" i="2"/>
  <c r="BB77" i="2"/>
  <c r="BB78" i="2"/>
  <c r="BB79" i="2"/>
  <c r="BB80" i="2"/>
  <c r="BB84" i="2"/>
  <c r="BB85" i="2"/>
  <c r="BB89" i="2"/>
  <c r="BB90" i="2"/>
  <c r="BB91" i="2"/>
  <c r="BB92" i="2"/>
  <c r="BB96" i="2"/>
  <c r="BB97" i="2"/>
  <c r="BB101" i="2"/>
  <c r="BB102" i="2"/>
  <c r="BB103" i="2"/>
  <c r="BB104" i="2"/>
  <c r="BB106" i="2"/>
  <c r="BB107" i="2"/>
  <c r="BB108" i="2"/>
  <c r="BB109" i="2"/>
  <c r="BB110" i="2"/>
  <c r="BB113" i="2"/>
  <c r="BB114" i="2"/>
  <c r="BB115" i="2"/>
  <c r="BB116" i="2"/>
  <c r="BB119" i="2"/>
  <c r="BB120" i="2"/>
  <c r="BB121" i="2"/>
  <c r="BB126" i="2"/>
  <c r="BB128" i="2"/>
  <c r="BB131" i="2"/>
  <c r="BB132" i="2"/>
  <c r="BB133" i="2"/>
  <c r="BB137" i="2"/>
  <c r="BB138" i="2"/>
  <c r="BB139" i="2"/>
  <c r="BB140" i="2"/>
  <c r="BB143" i="2"/>
  <c r="BB144" i="2"/>
  <c r="BB145" i="2"/>
  <c r="BB149" i="2"/>
  <c r="BB150" i="2"/>
  <c r="BB151" i="2"/>
  <c r="BB152" i="2"/>
  <c r="BB155" i="2"/>
  <c r="BB156" i="2"/>
  <c r="BB157" i="2"/>
  <c r="BB159" i="2"/>
  <c r="BB160" i="2"/>
  <c r="BB161" i="2"/>
  <c r="BC76" i="2"/>
  <c r="BC77" i="2"/>
  <c r="BC78" i="2"/>
  <c r="BC79" i="2"/>
  <c r="BC80" i="2"/>
  <c r="BC81" i="2"/>
  <c r="BC82" i="2"/>
  <c r="BC83" i="2"/>
  <c r="BC84" i="2"/>
  <c r="BC85" i="2"/>
  <c r="BC86" i="2"/>
  <c r="BC87" i="2"/>
  <c r="BC88" i="2"/>
  <c r="BC89" i="2"/>
  <c r="BC90" i="2"/>
  <c r="BC91" i="2"/>
  <c r="BC92" i="2"/>
  <c r="BC93" i="2"/>
  <c r="BC94" i="2"/>
  <c r="BC95" i="2"/>
  <c r="BC96" i="2"/>
  <c r="BC97" i="2"/>
  <c r="BC98" i="2"/>
  <c r="BC99" i="2"/>
  <c r="BC100" i="2"/>
  <c r="BC101" i="2"/>
  <c r="BC102" i="2"/>
  <c r="BC103" i="2"/>
  <c r="BC104" i="2"/>
  <c r="BC105" i="2"/>
  <c r="BC106" i="2"/>
  <c r="BC107" i="2"/>
  <c r="BC108" i="2"/>
  <c r="BC109" i="2"/>
  <c r="BC110" i="2"/>
  <c r="BC111" i="2"/>
  <c r="BC112" i="2"/>
  <c r="BC113" i="2"/>
  <c r="BC114" i="2"/>
  <c r="BC115" i="2"/>
  <c r="BC116" i="2"/>
  <c r="BC117" i="2"/>
  <c r="BC118" i="2"/>
  <c r="BC119" i="2"/>
  <c r="BC120" i="2"/>
  <c r="BC121" i="2"/>
  <c r="BC122" i="2"/>
  <c r="BC123" i="2"/>
  <c r="BC124" i="2"/>
  <c r="BC125" i="2"/>
  <c r="BC126" i="2"/>
  <c r="BC127" i="2"/>
  <c r="BC128" i="2"/>
  <c r="BC129" i="2"/>
  <c r="BC130" i="2"/>
  <c r="BC131" i="2"/>
  <c r="BC132" i="2"/>
  <c r="BC133" i="2"/>
  <c r="BC134" i="2"/>
  <c r="BC135" i="2"/>
  <c r="BC136" i="2"/>
  <c r="BC137" i="2"/>
  <c r="BC138" i="2"/>
  <c r="BC139" i="2"/>
  <c r="BC140" i="2"/>
  <c r="BC141" i="2"/>
  <c r="BC142" i="2"/>
  <c r="BC143" i="2"/>
  <c r="BC144" i="2"/>
  <c r="BC145" i="2"/>
  <c r="BC146" i="2"/>
  <c r="BC147" i="2"/>
  <c r="BC148" i="2"/>
  <c r="BC149" i="2"/>
  <c r="BC150" i="2"/>
  <c r="BC151" i="2"/>
  <c r="BC152" i="2"/>
  <c r="BC153" i="2"/>
  <c r="BC154" i="2"/>
  <c r="BC155" i="2"/>
  <c r="BC156" i="2"/>
  <c r="BC157" i="2"/>
  <c r="BC159" i="2"/>
  <c r="BC160" i="2"/>
  <c r="BC161" i="2"/>
  <c r="BD76" i="2" a="1"/>
  <c r="BD76" i="2" s="1"/>
  <c r="BE76" i="2" s="1"/>
  <c r="BD77" i="2" a="1"/>
  <c r="BD77" i="2" s="1"/>
  <c r="BE77" i="2" s="1"/>
  <c r="BD78" i="2" a="1"/>
  <c r="BD78" i="2" s="1"/>
  <c r="BD80" i="2" a="1"/>
  <c r="BD80" i="2" s="1"/>
  <c r="BD81" i="2" a="1"/>
  <c r="BD81" i="2" s="1"/>
  <c r="BD82" i="2" a="1"/>
  <c r="BD82" i="2" s="1"/>
  <c r="BE82" i="2" s="1"/>
  <c r="BD83" i="2" a="1"/>
  <c r="BD83" i="2" s="1"/>
  <c r="BD84" i="2" a="1"/>
  <c r="BD84" i="2" s="1"/>
  <c r="BE84" i="2" s="1"/>
  <c r="BD87" i="2" a="1"/>
  <c r="BD87" i="2" s="1"/>
  <c r="BD88" i="2" a="1"/>
  <c r="BD88" i="2" s="1"/>
  <c r="BD89" i="2" a="1"/>
  <c r="BD89" i="2" s="1"/>
  <c r="BD90" i="2" a="1"/>
  <c r="BD90" i="2" s="1"/>
  <c r="BD92" i="2" a="1"/>
  <c r="BD92" i="2" s="1"/>
  <c r="BE92" i="2" s="1"/>
  <c r="BD93" i="2" a="1"/>
  <c r="BD93" i="2" s="1"/>
  <c r="BD94" i="2" a="1"/>
  <c r="BD94" i="2" s="1"/>
  <c r="BD95" i="2" a="1"/>
  <c r="BD95" i="2" s="1"/>
  <c r="BD96" i="2" a="1"/>
  <c r="BD96" i="2" s="1"/>
  <c r="BD100" i="2" a="1"/>
  <c r="BD100" i="2" s="1"/>
  <c r="BD101" i="2" a="1"/>
  <c r="BD101" i="2" s="1"/>
  <c r="BD102" i="2" a="1"/>
  <c r="BD102" i="2" s="1"/>
  <c r="BD104" i="2" a="1"/>
  <c r="BD104" i="2" s="1"/>
  <c r="BE104" i="2" s="1"/>
  <c r="BD105" i="2" a="1"/>
  <c r="BD105" i="2" s="1"/>
  <c r="BD106" i="2" a="1"/>
  <c r="BD106" i="2" s="1"/>
  <c r="BD107" i="2" a="1"/>
  <c r="BD107" i="2" s="1"/>
  <c r="BD108" i="2" a="1"/>
  <c r="BD108" i="2" s="1"/>
  <c r="BE108" i="2" s="1"/>
  <c r="BD111" i="2" a="1"/>
  <c r="BD111" i="2" s="1"/>
  <c r="BD112" i="2" a="1"/>
  <c r="BD112" i="2" s="1"/>
  <c r="BD113" i="2" a="1"/>
  <c r="BD113" i="2" s="1"/>
  <c r="BD114" i="2" a="1"/>
  <c r="BD114" i="2" s="1"/>
  <c r="BD116" i="2" a="1"/>
  <c r="BD116" i="2" s="1"/>
  <c r="BE116" i="2" s="1"/>
  <c r="BD117" i="2" a="1"/>
  <c r="BD117" i="2" s="1"/>
  <c r="BD118" i="2" a="1"/>
  <c r="BD118" i="2" s="1"/>
  <c r="BD119" i="2" a="1"/>
  <c r="BD119" i="2" s="1"/>
  <c r="BD120" i="2" a="1"/>
  <c r="BD120" i="2" s="1"/>
  <c r="BE120" i="2" s="1"/>
  <c r="BD123" i="2" a="1"/>
  <c r="BD123" i="2" s="1"/>
  <c r="BD124" i="2" a="1"/>
  <c r="BD124" i="2" s="1"/>
  <c r="BE124" i="2" s="1"/>
  <c r="BD125" i="2" a="1"/>
  <c r="BD125" i="2" s="1"/>
  <c r="BD126" i="2" a="1"/>
  <c r="BD126" i="2" s="1"/>
  <c r="BD128" i="2" a="1"/>
  <c r="BD128" i="2" s="1"/>
  <c r="BE128" i="2" s="1"/>
  <c r="BD129" i="2" a="1"/>
  <c r="BD129" i="2" s="1"/>
  <c r="BD130" i="2" a="1"/>
  <c r="BD130" i="2" s="1"/>
  <c r="BD131" i="2" a="1"/>
  <c r="BD131" i="2" s="1"/>
  <c r="BD132" i="2" a="1"/>
  <c r="BD132" i="2" s="1"/>
  <c r="BD135" i="2" a="1"/>
  <c r="BD135" i="2" s="1"/>
  <c r="BE135" i="2" s="1"/>
  <c r="BD136" i="2" a="1"/>
  <c r="BD136" i="2" s="1"/>
  <c r="BD137" i="2" a="1"/>
  <c r="BD137" i="2" s="1"/>
  <c r="BD140" i="2" a="1"/>
  <c r="BD140" i="2" s="1"/>
  <c r="BE140" i="2" s="1"/>
  <c r="BD142" i="2" a="1"/>
  <c r="BD142" i="2" s="1"/>
  <c r="BD143" i="2" a="1"/>
  <c r="BD143" i="2" s="1"/>
  <c r="BD147" i="2" a="1"/>
  <c r="BD147" i="2" s="1"/>
  <c r="BD148" i="2" a="1"/>
  <c r="BD148" i="2" s="1"/>
  <c r="BD149" i="2" a="1"/>
  <c r="BD149" i="2" s="1"/>
  <c r="BD152" i="2" a="1"/>
  <c r="BD152" i="2" s="1"/>
  <c r="BE152" i="2" s="1"/>
  <c r="BD154" i="2" a="1"/>
  <c r="BD154" i="2" s="1"/>
  <c r="BD155" i="2" a="1"/>
  <c r="BD155" i="2" s="1"/>
  <c r="BD160" i="2" a="1"/>
  <c r="BD160" i="2" s="1"/>
  <c r="BJ77" i="2"/>
  <c r="BJ78" i="2"/>
  <c r="BI79" i="2"/>
  <c r="BJ85" i="2"/>
  <c r="BJ86" i="2"/>
  <c r="BI89" i="2"/>
  <c r="BJ90" i="2"/>
  <c r="BI92" i="2"/>
  <c r="BI94" i="2"/>
  <c r="BJ97" i="2"/>
  <c r="BJ101" i="2"/>
  <c r="BJ102" i="2"/>
  <c r="BI103" i="2"/>
  <c r="BJ109" i="2"/>
  <c r="BJ113" i="2"/>
  <c r="BJ114" i="2"/>
  <c r="BI115" i="2"/>
  <c r="BI119" i="2"/>
  <c r="BJ120" i="2"/>
  <c r="BJ121" i="2"/>
  <c r="BJ122" i="2"/>
  <c r="BI125" i="2"/>
  <c r="BJ126" i="2"/>
  <c r="BI127" i="2"/>
  <c r="BJ133" i="2"/>
  <c r="BJ138" i="2"/>
  <c r="BJ142" i="2"/>
  <c r="BJ145" i="2"/>
  <c r="BJ146" i="2"/>
  <c r="BJ150" i="2"/>
  <c r="BI151" i="2"/>
  <c r="BI160" i="2"/>
  <c r="BI77" i="2"/>
  <c r="BI90" i="2"/>
  <c r="BI137" i="2"/>
  <c r="BJ137" i="2"/>
  <c r="BL84" i="2"/>
  <c r="BL85" i="2"/>
  <c r="BL86" i="2"/>
  <c r="BL87" i="2"/>
  <c r="BL88" i="2"/>
  <c r="BL89" i="2"/>
  <c r="BL90" i="2"/>
  <c r="BL91" i="2"/>
  <c r="BL92" i="2"/>
  <c r="BL93" i="2"/>
  <c r="BL94" i="2"/>
  <c r="BL95" i="2"/>
  <c r="BL96" i="2"/>
  <c r="BL97" i="2"/>
  <c r="BL98" i="2"/>
  <c r="BL99" i="2"/>
  <c r="BL100" i="2"/>
  <c r="BL101" i="2"/>
  <c r="BL102" i="2"/>
  <c r="BL103" i="2"/>
  <c r="BL104" i="2"/>
  <c r="BL105" i="2"/>
  <c r="BL106" i="2"/>
  <c r="BL107" i="2"/>
  <c r="BL108" i="2"/>
  <c r="BL109" i="2"/>
  <c r="BL110" i="2"/>
  <c r="BL111" i="2"/>
  <c r="BL112" i="2"/>
  <c r="BL113" i="2"/>
  <c r="BL114" i="2"/>
  <c r="BL115" i="2"/>
  <c r="BL116" i="2"/>
  <c r="BL117" i="2"/>
  <c r="BL118" i="2"/>
  <c r="BL119" i="2"/>
  <c r="BL120" i="2"/>
  <c r="BL121" i="2"/>
  <c r="BL122" i="2"/>
  <c r="BL123" i="2"/>
  <c r="BL124" i="2"/>
  <c r="BL125" i="2"/>
  <c r="BL126" i="2"/>
  <c r="BL127" i="2"/>
  <c r="BL128" i="2"/>
  <c r="BL129" i="2"/>
  <c r="BL130" i="2"/>
  <c r="BL131" i="2"/>
  <c r="BL132" i="2"/>
  <c r="BL133" i="2"/>
  <c r="BL134" i="2"/>
  <c r="BL135" i="2"/>
  <c r="BL136" i="2"/>
  <c r="BL137" i="2"/>
  <c r="BL138" i="2"/>
  <c r="BL139" i="2"/>
  <c r="BL140" i="2"/>
  <c r="BL141" i="2"/>
  <c r="BL142" i="2"/>
  <c r="BL143" i="2"/>
  <c r="BL144" i="2"/>
  <c r="BL145" i="2"/>
  <c r="BL146" i="2"/>
  <c r="BL147" i="2"/>
  <c r="BL148" i="2"/>
  <c r="BL149" i="2"/>
  <c r="BL150" i="2"/>
  <c r="BL151" i="2"/>
  <c r="BL152" i="2"/>
  <c r="BL153" i="2"/>
  <c r="BL154" i="2"/>
  <c r="BL155" i="2"/>
  <c r="BL156" i="2"/>
  <c r="BJ152" i="2" l="1"/>
  <c r="BI116" i="2"/>
  <c r="BI107" i="2"/>
  <c r="BD159" i="2" a="1"/>
  <c r="BD159" i="2" s="1"/>
  <c r="BD156" i="2" a="1"/>
  <c r="BD156" i="2" s="1"/>
  <c r="BE156" i="2" s="1"/>
  <c r="BD141" i="2" a="1"/>
  <c r="BD141" i="2" s="1"/>
  <c r="BD138" i="2" a="1"/>
  <c r="BD138" i="2" s="1"/>
  <c r="BE138" i="2" s="1"/>
  <c r="BD153" i="2" a="1"/>
  <c r="BD153" i="2" s="1"/>
  <c r="BE153" i="2" s="1"/>
  <c r="BE145" i="2"/>
  <c r="BD99" i="2" a="1"/>
  <c r="BD99" i="2" s="1"/>
  <c r="BD150" i="2" a="1"/>
  <c r="BD150" i="2" s="1"/>
  <c r="BE150" i="2" s="1"/>
  <c r="BD144" i="2" a="1"/>
  <c r="BD144" i="2" s="1"/>
  <c r="BE144" i="2" s="1"/>
  <c r="BI99" i="2"/>
  <c r="BI150" i="2"/>
  <c r="BJ149" i="2"/>
  <c r="BI101" i="2"/>
  <c r="BJ140" i="2"/>
  <c r="BI84" i="2"/>
  <c r="BJ143" i="2"/>
  <c r="BJ157" i="2"/>
  <c r="BI113" i="2"/>
  <c r="BI147" i="2"/>
  <c r="BI104" i="2"/>
  <c r="BB99" i="2"/>
  <c r="BB147" i="2"/>
  <c r="BB111" i="2"/>
  <c r="BI111" i="2"/>
  <c r="BE147" i="2"/>
  <c r="BB127" i="2"/>
  <c r="BI123" i="2"/>
  <c r="BE87" i="2"/>
  <c r="BB125" i="2"/>
  <c r="BB123" i="2"/>
  <c r="BI87" i="2"/>
  <c r="BE99" i="2"/>
  <c r="BB87" i="2"/>
  <c r="BI135" i="2"/>
  <c r="BI132" i="2"/>
  <c r="BE111" i="2"/>
  <c r="BJ119" i="2"/>
  <c r="BE123" i="2"/>
  <c r="BI161" i="2"/>
  <c r="BJ161" i="2"/>
  <c r="BE78" i="2"/>
  <c r="BB88" i="2"/>
  <c r="BJ95" i="2"/>
  <c r="BI144" i="2"/>
  <c r="BI96" i="2"/>
  <c r="BB148" i="2"/>
  <c r="BJ131" i="2"/>
  <c r="BJ92" i="2"/>
  <c r="BI76" i="2"/>
  <c r="BJ125" i="2"/>
  <c r="BB100" i="2"/>
  <c r="BI86" i="2"/>
  <c r="BB112" i="2"/>
  <c r="BJ155" i="2"/>
  <c r="BJ83" i="2"/>
  <c r="BI126" i="2"/>
  <c r="BI78" i="2"/>
  <c r="BB124" i="2"/>
  <c r="BB76" i="2"/>
  <c r="BJ108" i="2"/>
  <c r="BJ112" i="2"/>
  <c r="BB136" i="2"/>
  <c r="BE136" i="2"/>
  <c r="BE159" i="2"/>
  <c r="BE132" i="2"/>
  <c r="BE80" i="2"/>
  <c r="BE90" i="2"/>
  <c r="BE114" i="2"/>
  <c r="BE88" i="2"/>
  <c r="BE126" i="2"/>
  <c r="BE100" i="2"/>
  <c r="BE112" i="2"/>
  <c r="BE102" i="2"/>
  <c r="BE79" i="2"/>
  <c r="BE148" i="2"/>
  <c r="BE96" i="2"/>
  <c r="BE146" i="2"/>
  <c r="BE98" i="2"/>
  <c r="BE86" i="2"/>
  <c r="BE122" i="2"/>
  <c r="BE110" i="2"/>
  <c r="BE134" i="2"/>
  <c r="BE89" i="2"/>
  <c r="BE151" i="2"/>
  <c r="BE127" i="2"/>
  <c r="BE115" i="2"/>
  <c r="BE103" i="2"/>
  <c r="BE133" i="2"/>
  <c r="BE109" i="2"/>
  <c r="BE131" i="2"/>
  <c r="BE143" i="2"/>
  <c r="BE107" i="2"/>
  <c r="BE94" i="2"/>
  <c r="BE83" i="2"/>
  <c r="BE139" i="2"/>
  <c r="BE91" i="2"/>
  <c r="BE137" i="2"/>
  <c r="BE113" i="2"/>
  <c r="BE101" i="2"/>
  <c r="BE149" i="2"/>
  <c r="BE121" i="2"/>
  <c r="BE119" i="2"/>
  <c r="BE155" i="2"/>
  <c r="BE130" i="2"/>
  <c r="BE154" i="2"/>
  <c r="BE142" i="2"/>
  <c r="BE118" i="2"/>
  <c r="BE106" i="2"/>
  <c r="BE95" i="2"/>
  <c r="BI82" i="2"/>
  <c r="BJ82" i="2"/>
  <c r="BE157" i="2"/>
  <c r="BJ89" i="2"/>
  <c r="BI112" i="2"/>
  <c r="BE117" i="2"/>
  <c r="BB122" i="2"/>
  <c r="BB134" i="2"/>
  <c r="BB94" i="2"/>
  <c r="BI128" i="2"/>
  <c r="BB146" i="2"/>
  <c r="BI146" i="2"/>
  <c r="BB118" i="2"/>
  <c r="BJ80" i="2"/>
  <c r="BI102" i="2"/>
  <c r="BE81" i="2"/>
  <c r="BE141" i="2"/>
  <c r="BE105" i="2"/>
  <c r="BB130" i="2"/>
  <c r="BI142" i="2"/>
  <c r="BB142" i="2"/>
  <c r="BI122" i="2"/>
  <c r="BI120" i="2"/>
  <c r="BE129" i="2"/>
  <c r="BB154" i="2"/>
  <c r="BI138" i="2"/>
  <c r="BB86" i="2"/>
  <c r="BJ94" i="2"/>
  <c r="BI114" i="2"/>
  <c r="BE93" i="2"/>
  <c r="BE85" i="2"/>
  <c r="BB98" i="2"/>
  <c r="BD161" i="2" a="1"/>
  <c r="BD161" i="2" s="1"/>
  <c r="BE161" i="2" s="1"/>
  <c r="BE160" i="2"/>
  <c r="BB117" i="2"/>
  <c r="BI145" i="2"/>
  <c r="BI133" i="2"/>
  <c r="BI121" i="2"/>
  <c r="BI109" i="2"/>
  <c r="BI97" i="2"/>
  <c r="BI85" i="2"/>
  <c r="BB153" i="2"/>
  <c r="BB93" i="2"/>
  <c r="BB129" i="2"/>
  <c r="BB81" i="2"/>
  <c r="BJ127" i="2"/>
  <c r="BJ103" i="2"/>
  <c r="BJ79" i="2"/>
  <c r="BJ151" i="2"/>
  <c r="BJ139" i="2"/>
  <c r="BJ115" i="2"/>
  <c r="BJ91" i="2"/>
  <c r="BB82" i="2"/>
  <c r="BJ147" i="2"/>
  <c r="BJ135" i="2"/>
  <c r="BJ111" i="2"/>
  <c r="BJ99" i="2"/>
  <c r="BJ87" i="2"/>
  <c r="BJ160" i="2"/>
  <c r="BJ123" i="2"/>
  <c r="BB95" i="2"/>
  <c r="BB83" i="2"/>
  <c r="AK2" i="2"/>
  <c r="BE125" i="2" l="1"/>
  <c r="BI88" i="2"/>
  <c r="BJ88" i="2"/>
  <c r="BJ148" i="2"/>
  <c r="BI148" i="2"/>
  <c r="BJ100" i="2"/>
  <c r="BI100" i="2"/>
  <c r="BI124" i="2"/>
  <c r="BJ124" i="2"/>
  <c r="BI136" i="2"/>
  <c r="BJ136" i="2"/>
  <c r="BJ76" i="2"/>
  <c r="BI157" i="2"/>
  <c r="BI156" i="2"/>
  <c r="BJ156" i="2"/>
  <c r="BE97" i="2"/>
  <c r="BI106" i="2"/>
  <c r="BJ106" i="2"/>
  <c r="BJ130" i="2"/>
  <c r="BI130" i="2"/>
  <c r="BJ118" i="2"/>
  <c r="BI118" i="2"/>
  <c r="BJ159" i="2"/>
  <c r="BI159" i="2"/>
  <c r="BJ110" i="2"/>
  <c r="BI110" i="2"/>
  <c r="BJ154" i="2"/>
  <c r="BI154" i="2"/>
  <c r="BJ98" i="2"/>
  <c r="BI98" i="2"/>
  <c r="BJ134" i="2"/>
  <c r="BI134" i="2"/>
  <c r="BI93" i="2"/>
  <c r="BJ93" i="2"/>
  <c r="BJ105" i="2"/>
  <c r="BI105" i="2"/>
  <c r="BJ129" i="2"/>
  <c r="BI129" i="2"/>
  <c r="BJ81" i="2"/>
  <c r="BI81" i="2"/>
  <c r="BJ153" i="2"/>
  <c r="BI153" i="2"/>
  <c r="BI117" i="2"/>
  <c r="BJ117" i="2"/>
  <c r="BI141" i="2"/>
  <c r="BJ141" i="2"/>
  <c r="BB75" i="2"/>
  <c r="BA75" i="2"/>
  <c r="BL4" i="2"/>
  <c r="BL5" i="2"/>
  <c r="BL6" i="2"/>
  <c r="BL7" i="2"/>
  <c r="BL8" i="2"/>
  <c r="BL9" i="2"/>
  <c r="BL10" i="2"/>
  <c r="BL11" i="2"/>
  <c r="BL12" i="2"/>
  <c r="BL13" i="2"/>
  <c r="BL14" i="2"/>
  <c r="BL15" i="2"/>
  <c r="BL16" i="2"/>
  <c r="BL17" i="2"/>
  <c r="BL18" i="2"/>
  <c r="BL19" i="2"/>
  <c r="BL20" i="2"/>
  <c r="BL21" i="2"/>
  <c r="BL22" i="2"/>
  <c r="BL23" i="2"/>
  <c r="BL24" i="2"/>
  <c r="BL25" i="2"/>
  <c r="BL26" i="2"/>
  <c r="BL27" i="2"/>
  <c r="BL28" i="2"/>
  <c r="BL29" i="2"/>
  <c r="BL30" i="2"/>
  <c r="BL31" i="2"/>
  <c r="BL32" i="2"/>
  <c r="BL33" i="2"/>
  <c r="BL34" i="2"/>
  <c r="BL35" i="2"/>
  <c r="BL36" i="2"/>
  <c r="BL37" i="2"/>
  <c r="BL38" i="2"/>
  <c r="BL39" i="2"/>
  <c r="BL40" i="2"/>
  <c r="BL41" i="2"/>
  <c r="BL42" i="2"/>
  <c r="BL43" i="2"/>
  <c r="BL44" i="2"/>
  <c r="BL45" i="2"/>
  <c r="BL46" i="2"/>
  <c r="BL47" i="2"/>
  <c r="BL48" i="2"/>
  <c r="BL49" i="2"/>
  <c r="BL50" i="2"/>
  <c r="BL51" i="2"/>
  <c r="BL52" i="2"/>
  <c r="BL53" i="2"/>
  <c r="BL54" i="2"/>
  <c r="BL55" i="2"/>
  <c r="BL56" i="2"/>
  <c r="BL57" i="2"/>
  <c r="BA73" i="2"/>
  <c r="BB73" i="2"/>
  <c r="BC73" i="2"/>
  <c r="BI73" i="2"/>
  <c r="BD64" i="2" a="1"/>
  <c r="BD64" i="2" s="1"/>
  <c r="BJ65" i="2"/>
  <c r="BD67" i="2" a="1"/>
  <c r="BD67" i="2" s="1"/>
  <c r="BB67" i="2"/>
  <c r="BD68" i="2" a="1"/>
  <c r="BD68" i="2" s="1"/>
  <c r="BD69" i="2" a="1"/>
  <c r="BD69" i="2" s="1"/>
  <c r="BI69" i="2"/>
  <c r="BJ70" i="2"/>
  <c r="BA64" i="2"/>
  <c r="BA65" i="2"/>
  <c r="BA66" i="2"/>
  <c r="BA67" i="2"/>
  <c r="BA68" i="2"/>
  <c r="BA69" i="2"/>
  <c r="BA70" i="2"/>
  <c r="BA71" i="2"/>
  <c r="BA72" i="2"/>
  <c r="BA74" i="2"/>
  <c r="BB68" i="2"/>
  <c r="BC64" i="2"/>
  <c r="BC65" i="2"/>
  <c r="BC66" i="2"/>
  <c r="BC67" i="2"/>
  <c r="BC68" i="2"/>
  <c r="BC69" i="2"/>
  <c r="BC70" i="2"/>
  <c r="BC71" i="2"/>
  <c r="BC72" i="2"/>
  <c r="BD65" i="2" a="1"/>
  <c r="BD65" i="2" s="1"/>
  <c r="BD70" i="2" a="1"/>
  <c r="BD70" i="2" s="1"/>
  <c r="BD71" i="2" a="1"/>
  <c r="BD71" i="2" s="1"/>
  <c r="BI68" i="2"/>
  <c r="BJ71" i="2"/>
  <c r="BI72" i="2"/>
  <c r="BE69" i="2" l="1"/>
  <c r="BJ73" i="2"/>
  <c r="BI71" i="2"/>
  <c r="BJ64" i="2"/>
  <c r="BE71" i="2"/>
  <c r="BB72" i="2"/>
  <c r="BB69" i="2"/>
  <c r="BB65" i="2"/>
  <c r="BJ72" i="2"/>
  <c r="BD66" i="2" a="1"/>
  <c r="BD66" i="2" s="1"/>
  <c r="BE66" i="2" s="1"/>
  <c r="BI64" i="2"/>
  <c r="BD72" i="2" a="1"/>
  <c r="BD72" i="2" s="1"/>
  <c r="BE72" i="2" s="1"/>
  <c r="BJ69" i="2"/>
  <c r="BB64" i="2"/>
  <c r="BJ68" i="2"/>
  <c r="BE65" i="2"/>
  <c r="BE68" i="2"/>
  <c r="BB70" i="2"/>
  <c r="BB66" i="2"/>
  <c r="BI70" i="2"/>
  <c r="BI65" i="2"/>
  <c r="BB74" i="2"/>
  <c r="BB71" i="2"/>
  <c r="BC4" i="2"/>
  <c r="BC5" i="2"/>
  <c r="BC6" i="2"/>
  <c r="BC7" i="2"/>
  <c r="BC8" i="2"/>
  <c r="BC9" i="2"/>
  <c r="BC10" i="2"/>
  <c r="BC11" i="2"/>
  <c r="BC12" i="2"/>
  <c r="BC13" i="2"/>
  <c r="BC14" i="2"/>
  <c r="BC15" i="2"/>
  <c r="BC16" i="2"/>
  <c r="BC17" i="2"/>
  <c r="BC18" i="2"/>
  <c r="BC19" i="2"/>
  <c r="BC20" i="2"/>
  <c r="BC21" i="2"/>
  <c r="BC22" i="2"/>
  <c r="BC23" i="2"/>
  <c r="BC24" i="2"/>
  <c r="BC25" i="2"/>
  <c r="BC26" i="2"/>
  <c r="BC27" i="2"/>
  <c r="BC28" i="2"/>
  <c r="BC29" i="2"/>
  <c r="BC30" i="2"/>
  <c r="BC31" i="2"/>
  <c r="BC32" i="2"/>
  <c r="BC33" i="2"/>
  <c r="BC34" i="2"/>
  <c r="BC35" i="2"/>
  <c r="BC36" i="2"/>
  <c r="BC37" i="2"/>
  <c r="BC38" i="2"/>
  <c r="BC39" i="2"/>
  <c r="BC40" i="2"/>
  <c r="BC41" i="2"/>
  <c r="BC42" i="2"/>
  <c r="BC43" i="2"/>
  <c r="BC44" i="2"/>
  <c r="BC45" i="2"/>
  <c r="BC46" i="2"/>
  <c r="BC47" i="2"/>
  <c r="BC48" i="2"/>
  <c r="BC49" i="2"/>
  <c r="BC50" i="2"/>
  <c r="BC51" i="2"/>
  <c r="BC52" i="2"/>
  <c r="BC53" i="2"/>
  <c r="BC54" i="2"/>
  <c r="BC55" i="2"/>
  <c r="BC56" i="2"/>
  <c r="BC57" i="2"/>
  <c r="BC58" i="2"/>
  <c r="BC59" i="2"/>
  <c r="BC60" i="2"/>
  <c r="BC61" i="2"/>
  <c r="BC62" i="2"/>
  <c r="BC63" i="2"/>
  <c r="BA4" i="2"/>
  <c r="BA5" i="2"/>
  <c r="BA6" i="2"/>
  <c r="BA7" i="2"/>
  <c r="BA8" i="2"/>
  <c r="BA9" i="2"/>
  <c r="BA10" i="2"/>
  <c r="BA11" i="2"/>
  <c r="BA12" i="2"/>
  <c r="BA13" i="2"/>
  <c r="BA14" i="2"/>
  <c r="BA15" i="2"/>
  <c r="BA16" i="2"/>
  <c r="BA17" i="2"/>
  <c r="BA18" i="2"/>
  <c r="BA19" i="2"/>
  <c r="BA20" i="2"/>
  <c r="BA21" i="2"/>
  <c r="BA22" i="2"/>
  <c r="BA23" i="2"/>
  <c r="BA24" i="2"/>
  <c r="BA25" i="2"/>
  <c r="BA26" i="2"/>
  <c r="BA27" i="2"/>
  <c r="BA28" i="2"/>
  <c r="BA29" i="2"/>
  <c r="BA30" i="2"/>
  <c r="BA31" i="2"/>
  <c r="BA32" i="2"/>
  <c r="BA33" i="2"/>
  <c r="BA34" i="2"/>
  <c r="BA35" i="2"/>
  <c r="BA36" i="2"/>
  <c r="BA37" i="2"/>
  <c r="BA38" i="2"/>
  <c r="BA39" i="2"/>
  <c r="BA40" i="2"/>
  <c r="BA41" i="2"/>
  <c r="BA42" i="2"/>
  <c r="BA43" i="2"/>
  <c r="BA44" i="2"/>
  <c r="BA45" i="2"/>
  <c r="BA46" i="2"/>
  <c r="BA47" i="2"/>
  <c r="BA48" i="2"/>
  <c r="BA49" i="2"/>
  <c r="BA50" i="2"/>
  <c r="BA51" i="2"/>
  <c r="BA52" i="2"/>
  <c r="BA53" i="2"/>
  <c r="BA54" i="2"/>
  <c r="BA55" i="2"/>
  <c r="BA56" i="2"/>
  <c r="BA57" i="2"/>
  <c r="BA58" i="2"/>
  <c r="BA59" i="2"/>
  <c r="BA60" i="2"/>
  <c r="BA61" i="2"/>
  <c r="BA62" i="2"/>
  <c r="BA63" i="2"/>
  <c r="BJ61" i="2"/>
  <c r="BI62" i="2"/>
  <c r="N2" i="2"/>
  <c r="O2" i="2"/>
  <c r="K20" i="32"/>
  <c r="N22" i="32"/>
  <c r="BI75" i="2" l="1"/>
  <c r="BJ75" i="2"/>
  <c r="BE67" i="2"/>
  <c r="BD74" i="2" a="1"/>
  <c r="BD74" i="2" s="1"/>
  <c r="BD73" i="2" a="1"/>
  <c r="BD73" i="2" s="1"/>
  <c r="BE73" i="2" s="1"/>
  <c r="BI67" i="2"/>
  <c r="BJ67" i="2"/>
  <c r="BE70" i="2"/>
  <c r="BE64" i="2"/>
  <c r="BJ74" i="2"/>
  <c r="BI74" i="2"/>
  <c r="BI4" i="2"/>
  <c r="BB63" i="2"/>
  <c r="BI66" i="2"/>
  <c r="BJ66" i="2"/>
  <c r="BB62" i="2"/>
  <c r="BB26" i="2"/>
  <c r="BB14" i="2"/>
  <c r="BJ50" i="2"/>
  <c r="BB50" i="2"/>
  <c r="BJ49" i="2"/>
  <c r="BB49" i="2"/>
  <c r="BI38" i="2"/>
  <c r="BB61" i="2"/>
  <c r="BB38" i="2"/>
  <c r="BJ37" i="2"/>
  <c r="BB37" i="2"/>
  <c r="BI26" i="2"/>
  <c r="BJ25" i="2"/>
  <c r="BB25" i="2"/>
  <c r="BJ14" i="2"/>
  <c r="BI13" i="2"/>
  <c r="BB13" i="2"/>
  <c r="BJ60" i="2"/>
  <c r="BI60" i="2"/>
  <c r="BJ48" i="2"/>
  <c r="BI48" i="2"/>
  <c r="BJ36" i="2"/>
  <c r="BI36" i="2"/>
  <c r="BJ24" i="2"/>
  <c r="BI24" i="2"/>
  <c r="BJ12" i="2"/>
  <c r="BI12" i="2"/>
  <c r="BJ23" i="2"/>
  <c r="BI23" i="2"/>
  <c r="BJ58" i="2"/>
  <c r="BI58" i="2"/>
  <c r="BJ46" i="2"/>
  <c r="BI46" i="2"/>
  <c r="BJ34" i="2"/>
  <c r="BI34" i="2"/>
  <c r="BJ22" i="2"/>
  <c r="BI22" i="2"/>
  <c r="BJ10" i="2"/>
  <c r="BI10" i="2"/>
  <c r="BJ57" i="2"/>
  <c r="BI57" i="2"/>
  <c r="BJ45" i="2"/>
  <c r="BI45" i="2"/>
  <c r="BJ33" i="2"/>
  <c r="BI33" i="2"/>
  <c r="BJ21" i="2"/>
  <c r="BI21" i="2"/>
  <c r="BJ9" i="2"/>
  <c r="BI9" i="2"/>
  <c r="BJ44" i="2"/>
  <c r="BI44" i="2"/>
  <c r="BJ32" i="2"/>
  <c r="BI32" i="2"/>
  <c r="BJ20" i="2"/>
  <c r="BI20" i="2"/>
  <c r="BJ8" i="2"/>
  <c r="BI8" i="2"/>
  <c r="BJ56" i="2"/>
  <c r="BI56" i="2"/>
  <c r="BJ7" i="2"/>
  <c r="BI7" i="2"/>
  <c r="BJ35" i="2"/>
  <c r="BI35" i="2"/>
  <c r="BJ59" i="2"/>
  <c r="BI59" i="2"/>
  <c r="BJ11" i="2"/>
  <c r="BI11" i="2"/>
  <c r="BJ47" i="2"/>
  <c r="BI47" i="2"/>
  <c r="BJ51" i="2"/>
  <c r="BI51" i="2"/>
  <c r="BJ39" i="2"/>
  <c r="BI39" i="2"/>
  <c r="BJ27" i="2"/>
  <c r="BI27" i="2"/>
  <c r="BJ15" i="2"/>
  <c r="BI15" i="2"/>
  <c r="BB51" i="2"/>
  <c r="BB39" i="2"/>
  <c r="BB27" i="2"/>
  <c r="BB15" i="2"/>
  <c r="BJ38" i="2"/>
  <c r="BI61" i="2"/>
  <c r="BB60" i="2"/>
  <c r="BB48" i="2"/>
  <c r="BB36" i="2"/>
  <c r="BB24" i="2"/>
  <c r="BB12" i="2"/>
  <c r="BB59" i="2"/>
  <c r="BB47" i="2"/>
  <c r="BB35" i="2"/>
  <c r="BB23" i="2"/>
  <c r="BB11" i="2"/>
  <c r="BB58" i="2"/>
  <c r="BB46" i="2"/>
  <c r="BB34" i="2"/>
  <c r="BB22" i="2"/>
  <c r="BB10" i="2"/>
  <c r="BB57" i="2"/>
  <c r="BB45" i="2"/>
  <c r="BB33" i="2"/>
  <c r="BB21" i="2"/>
  <c r="BB9" i="2"/>
  <c r="BJ62" i="2"/>
  <c r="BB56" i="2"/>
  <c r="BB44" i="2"/>
  <c r="BB32" i="2"/>
  <c r="BB20" i="2"/>
  <c r="BB8" i="2"/>
  <c r="BB55" i="2"/>
  <c r="BB43" i="2"/>
  <c r="BB31" i="2"/>
  <c r="BB19" i="2"/>
  <c r="BB7" i="2"/>
  <c r="BB54" i="2"/>
  <c r="BB42" i="2"/>
  <c r="BB30" i="2"/>
  <c r="BB18" i="2"/>
  <c r="BB6" i="2"/>
  <c r="BB53" i="2"/>
  <c r="BB41" i="2"/>
  <c r="BB29" i="2"/>
  <c r="BB17" i="2"/>
  <c r="BB5" i="2"/>
  <c r="BB52" i="2"/>
  <c r="BB40" i="2"/>
  <c r="BB28" i="2"/>
  <c r="BB16" i="2"/>
  <c r="BB4" i="2"/>
  <c r="BD63" i="2" a="1"/>
  <c r="BD63" i="2" s="1"/>
  <c r="BD62" i="2" a="1"/>
  <c r="BD62" i="2" s="1"/>
  <c r="BE62" i="2" s="1"/>
  <c r="BN2" i="2"/>
  <c r="BO2" i="2"/>
  <c r="BP2" i="2"/>
  <c r="AW2" i="2"/>
  <c r="D61" i="42" l="1" a="1"/>
  <c r="D61" i="42" s="1"/>
  <c r="C61" i="42" a="1"/>
  <c r="C61" i="42" s="1"/>
  <c r="F62" i="42" a="1"/>
  <c r="F62" i="42" s="1"/>
  <c r="F61" i="42" a="1"/>
  <c r="F61" i="42" s="1"/>
  <c r="B61" i="42" a="1"/>
  <c r="B61" i="42" s="1"/>
  <c r="B62" i="42" a="1"/>
  <c r="B62" i="42" s="1"/>
  <c r="D62" i="42" a="1"/>
  <c r="D62" i="42" s="1"/>
  <c r="C62" i="42" a="1"/>
  <c r="C62" i="42" s="1"/>
  <c r="BJ13" i="2"/>
  <c r="BJ4" i="2"/>
  <c r="BE74" i="2"/>
  <c r="BD75" i="2" a="1"/>
  <c r="BD75" i="2" s="1"/>
  <c r="BE75" i="2" s="1"/>
  <c r="BI49" i="2"/>
  <c r="BI50" i="2"/>
  <c r="BI25" i="2"/>
  <c r="BI14" i="2"/>
  <c r="BJ63" i="2"/>
  <c r="BI63" i="2"/>
  <c r="BJ26" i="2"/>
  <c r="BE63" i="2"/>
  <c r="E84" i="42" a="1"/>
  <c r="E84" i="42" s="1"/>
  <c r="E13" i="42" a="1"/>
  <c r="E13" i="42" s="1"/>
  <c r="E25" i="42" a="1"/>
  <c r="E25" i="42" s="1"/>
  <c r="E37" i="42" a="1"/>
  <c r="E37" i="42" s="1"/>
  <c r="E49" i="42" a="1"/>
  <c r="E49" i="42" s="1"/>
  <c r="E61" i="42" a="1"/>
  <c r="E61" i="42" s="1"/>
  <c r="E73" i="42" a="1"/>
  <c r="E73" i="42" s="1"/>
  <c r="F3" i="42" a="1"/>
  <c r="F3" i="42" s="1"/>
  <c r="F15" i="42" a="1"/>
  <c r="F15" i="42" s="1"/>
  <c r="F27" i="42" a="1"/>
  <c r="F27" i="42" s="1"/>
  <c r="F39" i="42" a="1"/>
  <c r="F39" i="42" s="1"/>
  <c r="F51" i="42" a="1"/>
  <c r="F51" i="42" s="1"/>
  <c r="F63" i="42" a="1"/>
  <c r="F63" i="42" s="1"/>
  <c r="F75" i="42" a="1"/>
  <c r="F75" i="42" s="1"/>
  <c r="D5" i="42" a="1"/>
  <c r="D5" i="42" s="1"/>
  <c r="D17" i="42" a="1"/>
  <c r="D17" i="42" s="1"/>
  <c r="D29" i="42" a="1"/>
  <c r="D29" i="42" s="1"/>
  <c r="D41" i="42" a="1"/>
  <c r="D41" i="42" s="1"/>
  <c r="D53" i="42" a="1"/>
  <c r="D53" i="42" s="1"/>
  <c r="D66" i="42" a="1"/>
  <c r="D66" i="42" s="1"/>
  <c r="D78" i="42" a="1"/>
  <c r="D78" i="42" s="1"/>
  <c r="C6" i="42" a="1"/>
  <c r="C6" i="42" s="1"/>
  <c r="C18" i="42" a="1"/>
  <c r="C18" i="42" s="1"/>
  <c r="C30" i="42" a="1"/>
  <c r="C30" i="42" s="1"/>
  <c r="C42" i="42" a="1"/>
  <c r="C42" i="42" s="1"/>
  <c r="C54" i="42" a="1"/>
  <c r="C54" i="42" s="1"/>
  <c r="C79" i="42" a="1"/>
  <c r="C79" i="42" s="1"/>
  <c r="B6" i="42" a="1"/>
  <c r="B6" i="42" s="1"/>
  <c r="B30" i="42" a="1"/>
  <c r="B30" i="42" s="1"/>
  <c r="B54" i="42" a="1"/>
  <c r="B54" i="42" s="1"/>
  <c r="B79" i="42" a="1"/>
  <c r="B79" i="42" s="1"/>
  <c r="B52" i="42" a="1"/>
  <c r="B52" i="42" s="1"/>
  <c r="E85" i="42" a="1"/>
  <c r="E85" i="42" s="1"/>
  <c r="E14" i="42" a="1"/>
  <c r="E14" i="42" s="1"/>
  <c r="E26" i="42" a="1"/>
  <c r="E26" i="42" s="1"/>
  <c r="E38" i="42" a="1"/>
  <c r="E38" i="42" s="1"/>
  <c r="E50" i="42" a="1"/>
  <c r="E50" i="42" s="1"/>
  <c r="E62" i="42" a="1"/>
  <c r="E62" i="42" s="1"/>
  <c r="E74" i="42" a="1"/>
  <c r="E74" i="42" s="1"/>
  <c r="F4" i="42" a="1"/>
  <c r="F4" i="42" s="1"/>
  <c r="F16" i="42" a="1"/>
  <c r="F16" i="42" s="1"/>
  <c r="F28" i="42" a="1"/>
  <c r="F28" i="42" s="1"/>
  <c r="F40" i="42" a="1"/>
  <c r="F40" i="42" s="1"/>
  <c r="F52" i="42" a="1"/>
  <c r="F52" i="42" s="1"/>
  <c r="F64" i="42" a="1"/>
  <c r="F64" i="42" s="1"/>
  <c r="F76" i="42" a="1"/>
  <c r="F76" i="42" s="1"/>
  <c r="D6" i="42" a="1"/>
  <c r="D6" i="42" s="1"/>
  <c r="D18" i="42" a="1"/>
  <c r="D18" i="42" s="1"/>
  <c r="D30" i="42" a="1"/>
  <c r="D30" i="42" s="1"/>
  <c r="D42" i="42" a="1"/>
  <c r="D42" i="42" s="1"/>
  <c r="D54" i="42" a="1"/>
  <c r="D54" i="42" s="1"/>
  <c r="D67" i="42" a="1"/>
  <c r="D67" i="42" s="1"/>
  <c r="D79" i="42" a="1"/>
  <c r="D79" i="42" s="1"/>
  <c r="C7" i="42" a="1"/>
  <c r="C7" i="42" s="1"/>
  <c r="C19" i="42" a="1"/>
  <c r="C19" i="42" s="1"/>
  <c r="C31" i="42" a="1"/>
  <c r="C31" i="42" s="1"/>
  <c r="C43" i="42" a="1"/>
  <c r="C43" i="42" s="1"/>
  <c r="C55" i="42" a="1"/>
  <c r="C55" i="42" s="1"/>
  <c r="C68" i="42" a="1"/>
  <c r="C68" i="42" s="1"/>
  <c r="C80" i="42" a="1"/>
  <c r="C80" i="42" s="1"/>
  <c r="B7" i="42" a="1"/>
  <c r="B7" i="42" s="1"/>
  <c r="B19" i="42" a="1"/>
  <c r="B19" i="42" s="1"/>
  <c r="B31" i="42" a="1"/>
  <c r="B31" i="42" s="1"/>
  <c r="B43" i="42" a="1"/>
  <c r="B43" i="42" s="1"/>
  <c r="B55" i="42" a="1"/>
  <c r="B55" i="42" s="1"/>
  <c r="B68" i="42" a="1"/>
  <c r="B68" i="42" s="1"/>
  <c r="B80" i="42" a="1"/>
  <c r="B80" i="42" s="1"/>
  <c r="B70" i="42" a="1"/>
  <c r="B70" i="42" s="1"/>
  <c r="C75" i="42" a="1"/>
  <c r="C75" i="42" s="1"/>
  <c r="B27" i="42" a="1"/>
  <c r="B27" i="42" s="1"/>
  <c r="E59" i="42" a="1"/>
  <c r="E59" i="42" s="1"/>
  <c r="C4" i="42" a="1"/>
  <c r="C4" i="42" s="1"/>
  <c r="B28" i="42" a="1"/>
  <c r="B28" i="42" s="1"/>
  <c r="E3" i="42" a="1"/>
  <c r="E3" i="42" s="1"/>
  <c r="E15" i="42" a="1"/>
  <c r="E15" i="42" s="1"/>
  <c r="E27" i="42" a="1"/>
  <c r="E27" i="42" s="1"/>
  <c r="E39" i="42" a="1"/>
  <c r="E39" i="42" s="1"/>
  <c r="E51" i="42" a="1"/>
  <c r="E51" i="42" s="1"/>
  <c r="E63" i="42" a="1"/>
  <c r="E63" i="42" s="1"/>
  <c r="E75" i="42" a="1"/>
  <c r="E75" i="42" s="1"/>
  <c r="F5" i="42" a="1"/>
  <c r="F5" i="42" s="1"/>
  <c r="F17" i="42" a="1"/>
  <c r="F17" i="42" s="1"/>
  <c r="F29" i="42" a="1"/>
  <c r="F29" i="42" s="1"/>
  <c r="F41" i="42" a="1"/>
  <c r="F41" i="42" s="1"/>
  <c r="F53" i="42" a="1"/>
  <c r="F53" i="42" s="1"/>
  <c r="F65" i="42" a="1"/>
  <c r="F65" i="42" s="1"/>
  <c r="F77" i="42" a="1"/>
  <c r="F77" i="42" s="1"/>
  <c r="D7" i="42" a="1"/>
  <c r="D7" i="42" s="1"/>
  <c r="D19" i="42" a="1"/>
  <c r="D19" i="42" s="1"/>
  <c r="D31" i="42" a="1"/>
  <c r="D31" i="42" s="1"/>
  <c r="D43" i="42" a="1"/>
  <c r="D43" i="42" s="1"/>
  <c r="D55" i="42" a="1"/>
  <c r="D55" i="42" s="1"/>
  <c r="D68" i="42" a="1"/>
  <c r="D68" i="42" s="1"/>
  <c r="D80" i="42" a="1"/>
  <c r="D80" i="42" s="1"/>
  <c r="C8" i="42" a="1"/>
  <c r="C8" i="42" s="1"/>
  <c r="C20" i="42" a="1"/>
  <c r="C20" i="42" s="1"/>
  <c r="C32" i="42" a="1"/>
  <c r="C32" i="42" s="1"/>
  <c r="C44" i="42" a="1"/>
  <c r="C44" i="42" s="1"/>
  <c r="C56" i="42" a="1"/>
  <c r="C56" i="42" s="1"/>
  <c r="C69" i="42" a="1"/>
  <c r="C69" i="42" s="1"/>
  <c r="C81" i="42" a="1"/>
  <c r="C81" i="42" s="1"/>
  <c r="B8" i="42" a="1"/>
  <c r="B8" i="42" s="1"/>
  <c r="B20" i="42" a="1"/>
  <c r="B20" i="42" s="1"/>
  <c r="B32" i="42" a="1"/>
  <c r="B32" i="42" s="1"/>
  <c r="B44" i="42" a="1"/>
  <c r="B44" i="42" s="1"/>
  <c r="B56" i="42" a="1"/>
  <c r="B56" i="42" s="1"/>
  <c r="B69" i="42" a="1"/>
  <c r="B69" i="42" s="1"/>
  <c r="B81" i="42" a="1"/>
  <c r="B81" i="42" s="1"/>
  <c r="B57" i="42" a="1"/>
  <c r="B57" i="42" s="1"/>
  <c r="B60" i="42" a="1"/>
  <c r="B60" i="42" s="1"/>
  <c r="B50" i="42" a="1"/>
  <c r="B50" i="42" s="1"/>
  <c r="B64" i="42" a="1"/>
  <c r="B64" i="42" s="1"/>
  <c r="F13" i="42" a="1"/>
  <c r="F13" i="42" s="1"/>
  <c r="D39" i="42" a="1"/>
  <c r="D39" i="42" s="1"/>
  <c r="C65" i="42" a="1"/>
  <c r="C65" i="42" s="1"/>
  <c r="E4" i="42" a="1"/>
  <c r="E4" i="42" s="1"/>
  <c r="E16" i="42" a="1"/>
  <c r="E16" i="42" s="1"/>
  <c r="E28" i="42" a="1"/>
  <c r="E28" i="42" s="1"/>
  <c r="E40" i="42" a="1"/>
  <c r="E40" i="42" s="1"/>
  <c r="E52" i="42" a="1"/>
  <c r="E52" i="42" s="1"/>
  <c r="E64" i="42" a="1"/>
  <c r="E64" i="42" s="1"/>
  <c r="E76" i="42" a="1"/>
  <c r="E76" i="42" s="1"/>
  <c r="F6" i="42" a="1"/>
  <c r="F6" i="42" s="1"/>
  <c r="F18" i="42" a="1"/>
  <c r="F18" i="42" s="1"/>
  <c r="F30" i="42" a="1"/>
  <c r="F30" i="42" s="1"/>
  <c r="F42" i="42" a="1"/>
  <c r="F42" i="42" s="1"/>
  <c r="F54" i="42" a="1"/>
  <c r="F54" i="42" s="1"/>
  <c r="F66" i="42" a="1"/>
  <c r="F66" i="42" s="1"/>
  <c r="F78" i="42" a="1"/>
  <c r="F78" i="42" s="1"/>
  <c r="D8" i="42" a="1"/>
  <c r="D8" i="42" s="1"/>
  <c r="D20" i="42" a="1"/>
  <c r="D20" i="42" s="1"/>
  <c r="D32" i="42" a="1"/>
  <c r="D32" i="42" s="1"/>
  <c r="D44" i="42" a="1"/>
  <c r="D44" i="42" s="1"/>
  <c r="D56" i="42" a="1"/>
  <c r="D56" i="42" s="1"/>
  <c r="D69" i="42" a="1"/>
  <c r="D69" i="42" s="1"/>
  <c r="D81" i="42" a="1"/>
  <c r="D81" i="42" s="1"/>
  <c r="C9" i="42" a="1"/>
  <c r="C9" i="42" s="1"/>
  <c r="C21" i="42" a="1"/>
  <c r="C21" i="42" s="1"/>
  <c r="C33" i="42" a="1"/>
  <c r="C33" i="42" s="1"/>
  <c r="C45" i="42" a="1"/>
  <c r="C45" i="42" s="1"/>
  <c r="C57" i="42" a="1"/>
  <c r="C57" i="42" s="1"/>
  <c r="C70" i="42" a="1"/>
  <c r="C70" i="42" s="1"/>
  <c r="C82" i="42" a="1"/>
  <c r="C82" i="42" s="1"/>
  <c r="B9" i="42" a="1"/>
  <c r="B9" i="42" s="1"/>
  <c r="B21" i="42" a="1"/>
  <c r="B21" i="42" s="1"/>
  <c r="B33" i="42" a="1"/>
  <c r="B33" i="42" s="1"/>
  <c r="B45" i="42" a="1"/>
  <c r="B45" i="42" s="1"/>
  <c r="B82" i="42" a="1"/>
  <c r="B82" i="42" s="1"/>
  <c r="B2" i="42" a="1"/>
  <c r="B2" i="42" s="1"/>
  <c r="B39" i="42" a="1"/>
  <c r="B39" i="42" s="1"/>
  <c r="E83" i="42" a="1"/>
  <c r="E83" i="42" s="1"/>
  <c r="D15" i="42" a="1"/>
  <c r="D15" i="42" s="1"/>
  <c r="C52" i="42" a="1"/>
  <c r="C52" i="42" s="1"/>
  <c r="E5" i="42" a="1"/>
  <c r="E5" i="42" s="1"/>
  <c r="E17" i="42" a="1"/>
  <c r="E17" i="42" s="1"/>
  <c r="E29" i="42" a="1"/>
  <c r="E29" i="42" s="1"/>
  <c r="E41" i="42" a="1"/>
  <c r="E41" i="42" s="1"/>
  <c r="E53" i="42" a="1"/>
  <c r="E53" i="42" s="1"/>
  <c r="E65" i="42" a="1"/>
  <c r="E65" i="42" s="1"/>
  <c r="E77" i="42" a="1"/>
  <c r="E77" i="42" s="1"/>
  <c r="F7" i="42" a="1"/>
  <c r="F7" i="42" s="1"/>
  <c r="F19" i="42" a="1"/>
  <c r="F19" i="42" s="1"/>
  <c r="F31" i="42" a="1"/>
  <c r="F31" i="42" s="1"/>
  <c r="F43" i="42" a="1"/>
  <c r="F43" i="42" s="1"/>
  <c r="F55" i="42" a="1"/>
  <c r="F55" i="42" s="1"/>
  <c r="F67" i="42" a="1"/>
  <c r="F67" i="42" s="1"/>
  <c r="F79" i="42" a="1"/>
  <c r="F79" i="42" s="1"/>
  <c r="D9" i="42" a="1"/>
  <c r="D9" i="42" s="1"/>
  <c r="D21" i="42" a="1"/>
  <c r="D21" i="42" s="1"/>
  <c r="D33" i="42" a="1"/>
  <c r="D33" i="42" s="1"/>
  <c r="D45" i="42" a="1"/>
  <c r="D45" i="42" s="1"/>
  <c r="D57" i="42" a="1"/>
  <c r="D57" i="42" s="1"/>
  <c r="D70" i="42" a="1"/>
  <c r="D70" i="42" s="1"/>
  <c r="D82" i="42" a="1"/>
  <c r="D82" i="42" s="1"/>
  <c r="C10" i="42" a="1"/>
  <c r="C10" i="42" s="1"/>
  <c r="C22" i="42" a="1"/>
  <c r="C22" i="42" s="1"/>
  <c r="C34" i="42" a="1"/>
  <c r="C34" i="42" s="1"/>
  <c r="C46" i="42" a="1"/>
  <c r="C46" i="42" s="1"/>
  <c r="C58" i="42" a="1"/>
  <c r="C58" i="42" s="1"/>
  <c r="C71" i="42" a="1"/>
  <c r="C71" i="42" s="1"/>
  <c r="C83" i="42" a="1"/>
  <c r="C83" i="42" s="1"/>
  <c r="B10" i="42" a="1"/>
  <c r="B10" i="42" s="1"/>
  <c r="B22" i="42" a="1"/>
  <c r="B22" i="42" s="1"/>
  <c r="B34" i="42" a="1"/>
  <c r="B34" i="42" s="1"/>
  <c r="B46" i="42" a="1"/>
  <c r="B46" i="42" s="1"/>
  <c r="B58" i="42" a="1"/>
  <c r="B58" i="42" s="1"/>
  <c r="B71" i="42" a="1"/>
  <c r="B71" i="42" s="1"/>
  <c r="B83" i="42" a="1"/>
  <c r="B83" i="42" s="1"/>
  <c r="B59" i="42" a="1"/>
  <c r="B59" i="42" s="1"/>
  <c r="B73" i="42" a="1"/>
  <c r="B73" i="42" s="1"/>
  <c r="B75" i="42" a="1"/>
  <c r="B75" i="42" s="1"/>
  <c r="E47" i="42" a="1"/>
  <c r="E47" i="42" s="1"/>
  <c r="F73" i="42" a="1"/>
  <c r="F73" i="42" s="1"/>
  <c r="C16" i="42" a="1"/>
  <c r="C16" i="42" s="1"/>
  <c r="B40" i="42" a="1"/>
  <c r="B40" i="42" s="1"/>
  <c r="E6" i="42" a="1"/>
  <c r="E6" i="42" s="1"/>
  <c r="E18" i="42" a="1"/>
  <c r="E18" i="42" s="1"/>
  <c r="E30" i="42" a="1"/>
  <c r="E30" i="42" s="1"/>
  <c r="E42" i="42" a="1"/>
  <c r="E42" i="42" s="1"/>
  <c r="E54" i="42" a="1"/>
  <c r="E54" i="42" s="1"/>
  <c r="E66" i="42" a="1"/>
  <c r="E66" i="42" s="1"/>
  <c r="E78" i="42" a="1"/>
  <c r="E78" i="42" s="1"/>
  <c r="F8" i="42" a="1"/>
  <c r="F8" i="42" s="1"/>
  <c r="F20" i="42" a="1"/>
  <c r="F20" i="42" s="1"/>
  <c r="F32" i="42" a="1"/>
  <c r="F32" i="42" s="1"/>
  <c r="F44" i="42" a="1"/>
  <c r="F44" i="42" s="1"/>
  <c r="F56" i="42" a="1"/>
  <c r="F56" i="42" s="1"/>
  <c r="F68" i="42" a="1"/>
  <c r="F68" i="42" s="1"/>
  <c r="F80" i="42" a="1"/>
  <c r="F80" i="42" s="1"/>
  <c r="D10" i="42" a="1"/>
  <c r="D10" i="42" s="1"/>
  <c r="D22" i="42" a="1"/>
  <c r="D22" i="42" s="1"/>
  <c r="D34" i="42" a="1"/>
  <c r="D34" i="42" s="1"/>
  <c r="D46" i="42" a="1"/>
  <c r="D46" i="42" s="1"/>
  <c r="D58" i="42" a="1"/>
  <c r="D58" i="42" s="1"/>
  <c r="D71" i="42" a="1"/>
  <c r="D71" i="42" s="1"/>
  <c r="D83" i="42" a="1"/>
  <c r="D83" i="42" s="1"/>
  <c r="C11" i="42" a="1"/>
  <c r="C11" i="42" s="1"/>
  <c r="C23" i="42" a="1"/>
  <c r="C23" i="42" s="1"/>
  <c r="C35" i="42" a="1"/>
  <c r="C35" i="42" s="1"/>
  <c r="C47" i="42" a="1"/>
  <c r="C47" i="42" s="1"/>
  <c r="C59" i="42" a="1"/>
  <c r="C59" i="42" s="1"/>
  <c r="C72" i="42" a="1"/>
  <c r="C72" i="42" s="1"/>
  <c r="C2" i="42" a="1"/>
  <c r="C2" i="42" s="1"/>
  <c r="B11" i="42" a="1"/>
  <c r="B11" i="42" s="1"/>
  <c r="B23" i="42" a="1"/>
  <c r="B23" i="42" s="1"/>
  <c r="B35" i="42" a="1"/>
  <c r="B35" i="42" s="1"/>
  <c r="B47" i="42" a="1"/>
  <c r="B47" i="42" s="1"/>
  <c r="B72" i="42" a="1"/>
  <c r="B72" i="42" s="1"/>
  <c r="B63" i="42" a="1"/>
  <c r="B63" i="42" s="1"/>
  <c r="E23" i="42" a="1"/>
  <c r="E23" i="42" s="1"/>
  <c r="F49" i="42" a="1"/>
  <c r="F49" i="42" s="1"/>
  <c r="D64" i="42" a="1"/>
  <c r="D64" i="42" s="1"/>
  <c r="B16" i="42" a="1"/>
  <c r="B16" i="42" s="1"/>
  <c r="E7" i="42" a="1"/>
  <c r="E7" i="42" s="1"/>
  <c r="E19" i="42" a="1"/>
  <c r="E19" i="42" s="1"/>
  <c r="E31" i="42" a="1"/>
  <c r="E31" i="42" s="1"/>
  <c r="E43" i="42" a="1"/>
  <c r="E43" i="42" s="1"/>
  <c r="E55" i="42" a="1"/>
  <c r="E55" i="42" s="1"/>
  <c r="E67" i="42" a="1"/>
  <c r="E67" i="42" s="1"/>
  <c r="E79" i="42" a="1"/>
  <c r="E79" i="42" s="1"/>
  <c r="F9" i="42" a="1"/>
  <c r="F9" i="42" s="1"/>
  <c r="F21" i="42" a="1"/>
  <c r="F21" i="42" s="1"/>
  <c r="F33" i="42" a="1"/>
  <c r="F33" i="42" s="1"/>
  <c r="F45" i="42" a="1"/>
  <c r="F45" i="42" s="1"/>
  <c r="F57" i="42" a="1"/>
  <c r="F57" i="42" s="1"/>
  <c r="F69" i="42" a="1"/>
  <c r="F69" i="42" s="1"/>
  <c r="F81" i="42" a="1"/>
  <c r="F81" i="42" s="1"/>
  <c r="D11" i="42" a="1"/>
  <c r="D11" i="42" s="1"/>
  <c r="D23" i="42" a="1"/>
  <c r="D23" i="42" s="1"/>
  <c r="D35" i="42" a="1"/>
  <c r="D35" i="42" s="1"/>
  <c r="D47" i="42" a="1"/>
  <c r="D47" i="42" s="1"/>
  <c r="D59" i="42" a="1"/>
  <c r="D59" i="42" s="1"/>
  <c r="D72" i="42" a="1"/>
  <c r="D72" i="42" s="1"/>
  <c r="D2" i="42" a="1"/>
  <c r="D2" i="42" s="1"/>
  <c r="C12" i="42" a="1"/>
  <c r="C12" i="42" s="1"/>
  <c r="C24" i="42" a="1"/>
  <c r="C24" i="42" s="1"/>
  <c r="C36" i="42" a="1"/>
  <c r="C36" i="42" s="1"/>
  <c r="C48" i="42" a="1"/>
  <c r="C48" i="42" s="1"/>
  <c r="C60" i="42" a="1"/>
  <c r="C60" i="42" s="1"/>
  <c r="C73" i="42" a="1"/>
  <c r="C73" i="42" s="1"/>
  <c r="B84" i="42" a="1"/>
  <c r="B84" i="42" s="1"/>
  <c r="B12" i="42" a="1"/>
  <c r="B12" i="42" s="1"/>
  <c r="B24" i="42" a="1"/>
  <c r="B24" i="42" s="1"/>
  <c r="B36" i="42" a="1"/>
  <c r="B36" i="42" s="1"/>
  <c r="B48" i="42" a="1"/>
  <c r="B48" i="42" s="1"/>
  <c r="B38" i="42" a="1"/>
  <c r="B38" i="42" s="1"/>
  <c r="E11" i="42" a="1"/>
  <c r="E11" i="42" s="1"/>
  <c r="F25" i="42" a="1"/>
  <c r="F25" i="42" s="1"/>
  <c r="D51" i="42" a="1"/>
  <c r="D51" i="42" s="1"/>
  <c r="B4" i="42" a="1"/>
  <c r="B4" i="42" s="1"/>
  <c r="E8" i="42" a="1"/>
  <c r="E8" i="42" s="1"/>
  <c r="E20" i="42" a="1"/>
  <c r="E20" i="42" s="1"/>
  <c r="E32" i="42" a="1"/>
  <c r="E32" i="42" s="1"/>
  <c r="E44" i="42" a="1"/>
  <c r="E44" i="42" s="1"/>
  <c r="E56" i="42" a="1"/>
  <c r="E56" i="42" s="1"/>
  <c r="E68" i="42" a="1"/>
  <c r="E68" i="42" s="1"/>
  <c r="E80" i="42" a="1"/>
  <c r="E80" i="42" s="1"/>
  <c r="F10" i="42" a="1"/>
  <c r="F10" i="42" s="1"/>
  <c r="F22" i="42" a="1"/>
  <c r="F22" i="42" s="1"/>
  <c r="F34" i="42" a="1"/>
  <c r="F34" i="42" s="1"/>
  <c r="F46" i="42" a="1"/>
  <c r="F46" i="42" s="1"/>
  <c r="F58" i="42" a="1"/>
  <c r="F58" i="42" s="1"/>
  <c r="F70" i="42" a="1"/>
  <c r="F70" i="42" s="1"/>
  <c r="F82" i="42" a="1"/>
  <c r="F82" i="42" s="1"/>
  <c r="D12" i="42" a="1"/>
  <c r="D12" i="42" s="1"/>
  <c r="D24" i="42" a="1"/>
  <c r="D24" i="42" s="1"/>
  <c r="D36" i="42" a="1"/>
  <c r="D36" i="42" s="1"/>
  <c r="D48" i="42" a="1"/>
  <c r="D48" i="42" s="1"/>
  <c r="D60" i="42" a="1"/>
  <c r="D60" i="42" s="1"/>
  <c r="D73" i="42" a="1"/>
  <c r="D73" i="42" s="1"/>
  <c r="C84" i="42" a="1"/>
  <c r="C84" i="42" s="1"/>
  <c r="C13" i="42" a="1"/>
  <c r="C13" i="42" s="1"/>
  <c r="C25" i="42" a="1"/>
  <c r="C25" i="42" s="1"/>
  <c r="C37" i="42" a="1"/>
  <c r="C37" i="42" s="1"/>
  <c r="C49" i="42" a="1"/>
  <c r="C49" i="42" s="1"/>
  <c r="C74" i="42" a="1"/>
  <c r="C74" i="42" s="1"/>
  <c r="B85" i="42" a="1"/>
  <c r="B85" i="42" s="1"/>
  <c r="B13" i="42" a="1"/>
  <c r="B13" i="42" s="1"/>
  <c r="B25" i="42" a="1"/>
  <c r="B25" i="42" s="1"/>
  <c r="B37" i="42" a="1"/>
  <c r="B37" i="42" s="1"/>
  <c r="B49" i="42" a="1"/>
  <c r="B49" i="42" s="1"/>
  <c r="B74" i="42" a="1"/>
  <c r="B74" i="42" s="1"/>
  <c r="C14" i="42" a="1"/>
  <c r="C14" i="42" s="1"/>
  <c r="C38" i="42" a="1"/>
  <c r="C38" i="42" s="1"/>
  <c r="C63" i="42" a="1"/>
  <c r="C63" i="42" s="1"/>
  <c r="B14" i="42" a="1"/>
  <c r="B14" i="42" s="1"/>
  <c r="B51" i="42" a="1"/>
  <c r="B51" i="42" s="1"/>
  <c r="E71" i="42" a="1"/>
  <c r="E71" i="42" s="1"/>
  <c r="D27" i="42" a="1"/>
  <c r="D27" i="42" s="1"/>
  <c r="C77" i="42" a="1"/>
  <c r="C77" i="42" s="1"/>
  <c r="E9" i="42" a="1"/>
  <c r="E9" i="42" s="1"/>
  <c r="E21" i="42" a="1"/>
  <c r="E21" i="42" s="1"/>
  <c r="E33" i="42" a="1"/>
  <c r="E33" i="42" s="1"/>
  <c r="E45" i="42" a="1"/>
  <c r="E45" i="42" s="1"/>
  <c r="E57" i="42" a="1"/>
  <c r="E57" i="42" s="1"/>
  <c r="E69" i="42" a="1"/>
  <c r="E69" i="42" s="1"/>
  <c r="E81" i="42" a="1"/>
  <c r="E81" i="42" s="1"/>
  <c r="F11" i="42" a="1"/>
  <c r="F11" i="42" s="1"/>
  <c r="F23" i="42" a="1"/>
  <c r="F23" i="42" s="1"/>
  <c r="F35" i="42" a="1"/>
  <c r="F35" i="42" s="1"/>
  <c r="F47" i="42" a="1"/>
  <c r="F47" i="42" s="1"/>
  <c r="F59" i="42" a="1"/>
  <c r="F59" i="42" s="1"/>
  <c r="F71" i="42" a="1"/>
  <c r="F71" i="42" s="1"/>
  <c r="F83" i="42" a="1"/>
  <c r="F83" i="42" s="1"/>
  <c r="D13" i="42" a="1"/>
  <c r="D13" i="42" s="1"/>
  <c r="D25" i="42" a="1"/>
  <c r="D25" i="42" s="1"/>
  <c r="D37" i="42" a="1"/>
  <c r="D37" i="42" s="1"/>
  <c r="D49" i="42" a="1"/>
  <c r="D49" i="42" s="1"/>
  <c r="D74" i="42" a="1"/>
  <c r="D74" i="42" s="1"/>
  <c r="C85" i="42" a="1"/>
  <c r="C85" i="42" s="1"/>
  <c r="C26" i="42" a="1"/>
  <c r="C26" i="42" s="1"/>
  <c r="C50" i="42" a="1"/>
  <c r="C50" i="42" s="1"/>
  <c r="B26" i="42" a="1"/>
  <c r="B26" i="42" s="1"/>
  <c r="B76" i="42" a="1"/>
  <c r="B76" i="42" s="1"/>
  <c r="F37" i="42" a="1"/>
  <c r="F37" i="42" s="1"/>
  <c r="D76" i="42" a="1"/>
  <c r="D76" i="42" s="1"/>
  <c r="B65" i="42" a="1"/>
  <c r="B65" i="42" s="1"/>
  <c r="E10" i="42" a="1"/>
  <c r="E10" i="42" s="1"/>
  <c r="E22" i="42" a="1"/>
  <c r="E22" i="42" s="1"/>
  <c r="E34" i="42" a="1"/>
  <c r="E34" i="42" s="1"/>
  <c r="E46" i="42" a="1"/>
  <c r="E46" i="42" s="1"/>
  <c r="E58" i="42" a="1"/>
  <c r="E58" i="42" s="1"/>
  <c r="E70" i="42" a="1"/>
  <c r="E70" i="42" s="1"/>
  <c r="E82" i="42" a="1"/>
  <c r="E82" i="42" s="1"/>
  <c r="F12" i="42" a="1"/>
  <c r="F12" i="42" s="1"/>
  <c r="F24" i="42" a="1"/>
  <c r="F24" i="42" s="1"/>
  <c r="F36" i="42" a="1"/>
  <c r="F36" i="42" s="1"/>
  <c r="F48" i="42" a="1"/>
  <c r="F48" i="42" s="1"/>
  <c r="F60" i="42" a="1"/>
  <c r="F60" i="42" s="1"/>
  <c r="F72" i="42" a="1"/>
  <c r="F72" i="42" s="1"/>
  <c r="F2" i="42" a="1"/>
  <c r="F2" i="42" s="1"/>
  <c r="D14" i="42" a="1"/>
  <c r="D14" i="42" s="1"/>
  <c r="D26" i="42" a="1"/>
  <c r="D26" i="42" s="1"/>
  <c r="D38" i="42" a="1"/>
  <c r="D38" i="42" s="1"/>
  <c r="D50" i="42" a="1"/>
  <c r="D50" i="42" s="1"/>
  <c r="D63" i="42" a="1"/>
  <c r="D63" i="42" s="1"/>
  <c r="D75" i="42" a="1"/>
  <c r="D75" i="42" s="1"/>
  <c r="C3" i="42" a="1"/>
  <c r="C3" i="42" s="1"/>
  <c r="C15" i="42" a="1"/>
  <c r="C15" i="42" s="1"/>
  <c r="C27" i="42" a="1"/>
  <c r="C27" i="42" s="1"/>
  <c r="C39" i="42" a="1"/>
  <c r="C39" i="42" s="1"/>
  <c r="C51" i="42" a="1"/>
  <c r="C51" i="42" s="1"/>
  <c r="C64" i="42" a="1"/>
  <c r="C64" i="42" s="1"/>
  <c r="C76" i="42" a="1"/>
  <c r="C76" i="42" s="1"/>
  <c r="B3" i="42" a="1"/>
  <c r="B3" i="42" s="1"/>
  <c r="B15" i="42" a="1"/>
  <c r="B15" i="42" s="1"/>
  <c r="E35" i="42" a="1"/>
  <c r="E35" i="42" s="1"/>
  <c r="D3" i="42" a="1"/>
  <c r="D3" i="42" s="1"/>
  <c r="C28" i="42" a="1"/>
  <c r="C28" i="42" s="1"/>
  <c r="E12" i="42" a="1"/>
  <c r="E12" i="42" s="1"/>
  <c r="E24" i="42" a="1"/>
  <c r="E24" i="42" s="1"/>
  <c r="E36" i="42" a="1"/>
  <c r="E36" i="42" s="1"/>
  <c r="E48" i="42" a="1"/>
  <c r="E48" i="42" s="1"/>
  <c r="E60" i="42" a="1"/>
  <c r="E60" i="42" s="1"/>
  <c r="E72" i="42" a="1"/>
  <c r="E72" i="42" s="1"/>
  <c r="E2" i="42" a="1"/>
  <c r="E2" i="42" s="1"/>
  <c r="F14" i="42" a="1"/>
  <c r="F14" i="42" s="1"/>
  <c r="F26" i="42" a="1"/>
  <c r="F26" i="42" s="1"/>
  <c r="F38" i="42" a="1"/>
  <c r="F38" i="42" s="1"/>
  <c r="F50" i="42" a="1"/>
  <c r="F50" i="42" s="1"/>
  <c r="F74" i="42" a="1"/>
  <c r="F74" i="42" s="1"/>
  <c r="D4" i="42" a="1"/>
  <c r="D4" i="42" s="1"/>
  <c r="D16" i="42" a="1"/>
  <c r="D16" i="42" s="1"/>
  <c r="D28" i="42" a="1"/>
  <c r="D28" i="42" s="1"/>
  <c r="D40" i="42" a="1"/>
  <c r="D40" i="42" s="1"/>
  <c r="D52" i="42" a="1"/>
  <c r="D52" i="42" s="1"/>
  <c r="D65" i="42" a="1"/>
  <c r="D65" i="42" s="1"/>
  <c r="D77" i="42" a="1"/>
  <c r="D77" i="42" s="1"/>
  <c r="C5" i="42" a="1"/>
  <c r="C5" i="42" s="1"/>
  <c r="C17" i="42" a="1"/>
  <c r="C17" i="42" s="1"/>
  <c r="C29" i="42" a="1"/>
  <c r="C29" i="42" s="1"/>
  <c r="C41" i="42" a="1"/>
  <c r="C41" i="42" s="1"/>
  <c r="C53" i="42" a="1"/>
  <c r="C53" i="42" s="1"/>
  <c r="C66" i="42" a="1"/>
  <c r="C66" i="42" s="1"/>
  <c r="C78" i="42" a="1"/>
  <c r="C78" i="42" s="1"/>
  <c r="B5" i="42" a="1"/>
  <c r="B5" i="42" s="1"/>
  <c r="B17" i="42" a="1"/>
  <c r="B17" i="42" s="1"/>
  <c r="B29" i="42" a="1"/>
  <c r="B29" i="42" s="1"/>
  <c r="B41" i="42" a="1"/>
  <c r="B41" i="42" s="1"/>
  <c r="B53" i="42" a="1"/>
  <c r="B53" i="42" s="1"/>
  <c r="B66" i="42" a="1"/>
  <c r="B66" i="42" s="1"/>
  <c r="B78" i="42" a="1"/>
  <c r="B78" i="42" s="1"/>
  <c r="C67" i="42" a="1"/>
  <c r="C67" i="42" s="1"/>
  <c r="B18" i="42" a="1"/>
  <c r="B18" i="42" s="1"/>
  <c r="B42" i="42" a="1"/>
  <c r="B42" i="42" s="1"/>
  <c r="B67" i="42" a="1"/>
  <c r="B67" i="42" s="1"/>
  <c r="C40" i="42" a="1"/>
  <c r="C40" i="42" s="1"/>
  <c r="B77" i="42" a="1"/>
  <c r="B77" i="42" s="1"/>
  <c r="BI37" i="2"/>
  <c r="BJ54" i="2"/>
  <c r="BI54" i="2"/>
  <c r="BJ5" i="2"/>
  <c r="BI5" i="2"/>
  <c r="BJ29" i="2"/>
  <c r="BI29" i="2"/>
  <c r="BJ41" i="2"/>
  <c r="BI41" i="2"/>
  <c r="BJ31" i="2"/>
  <c r="BI31" i="2"/>
  <c r="BJ53" i="2"/>
  <c r="BI53" i="2"/>
  <c r="BJ43" i="2"/>
  <c r="BI43" i="2"/>
  <c r="BJ55" i="2"/>
  <c r="BI55" i="2"/>
  <c r="BJ6" i="2"/>
  <c r="BI6" i="2"/>
  <c r="BJ17" i="2"/>
  <c r="BI17" i="2"/>
  <c r="BJ19" i="2"/>
  <c r="BI19" i="2"/>
  <c r="BJ16" i="2"/>
  <c r="BI16" i="2"/>
  <c r="BJ28" i="2"/>
  <c r="BI28" i="2"/>
  <c r="BJ18" i="2"/>
  <c r="BI18" i="2"/>
  <c r="BJ40" i="2"/>
  <c r="BI40" i="2"/>
  <c r="BJ30" i="2"/>
  <c r="BI30" i="2"/>
  <c r="BJ52" i="2"/>
  <c r="BI52" i="2"/>
  <c r="BJ42" i="2"/>
  <c r="BI42" i="2"/>
  <c r="A68" i="42"/>
  <c r="A69" i="42"/>
  <c r="A70" i="42"/>
  <c r="A71" i="42"/>
  <c r="A72" i="42"/>
  <c r="A73" i="42"/>
  <c r="A74" i="42"/>
  <c r="A75" i="42"/>
  <c r="A76" i="42"/>
  <c r="A77" i="42"/>
  <c r="A78" i="42"/>
  <c r="A79" i="42"/>
  <c r="A80" i="42"/>
  <c r="A81" i="42"/>
  <c r="A82" i="42"/>
  <c r="A83" i="42"/>
  <c r="A84" i="42"/>
  <c r="A85" i="42"/>
  <c r="A30" i="42"/>
  <c r="A31" i="42"/>
  <c r="A32" i="42"/>
  <c r="A33" i="42"/>
  <c r="A34" i="42"/>
  <c r="A35" i="42"/>
  <c r="A36" i="42"/>
  <c r="A37" i="42"/>
  <c r="A38" i="42"/>
  <c r="A39" i="42"/>
  <c r="A40" i="42"/>
  <c r="A41" i="42"/>
  <c r="A42" i="42"/>
  <c r="A43" i="42"/>
  <c r="A44" i="42"/>
  <c r="A45" i="42"/>
  <c r="A46" i="42"/>
  <c r="A47" i="42"/>
  <c r="A48" i="42"/>
  <c r="A49" i="42"/>
  <c r="A50" i="42"/>
  <c r="A51" i="42"/>
  <c r="A52" i="42"/>
  <c r="A53" i="42"/>
  <c r="A54" i="42"/>
  <c r="A55" i="42"/>
  <c r="A56" i="42"/>
  <c r="A57" i="42"/>
  <c r="A58" i="42"/>
  <c r="A59" i="42"/>
  <c r="A60" i="42"/>
  <c r="A61" i="42"/>
  <c r="A62" i="42"/>
  <c r="A63" i="42"/>
  <c r="A64" i="42"/>
  <c r="A65" i="42"/>
  <c r="A66" i="42"/>
  <c r="A67" i="42"/>
  <c r="A20" i="42"/>
  <c r="A21" i="42"/>
  <c r="A22" i="42"/>
  <c r="A23" i="42"/>
  <c r="A24" i="42"/>
  <c r="A25" i="42"/>
  <c r="A26" i="42"/>
  <c r="A27" i="42"/>
  <c r="A28" i="42"/>
  <c r="A29" i="42"/>
  <c r="A18" i="42"/>
  <c r="A19" i="42"/>
  <c r="A4" i="42" l="1"/>
  <c r="A5" i="42"/>
  <c r="A6" i="42"/>
  <c r="A7" i="42"/>
  <c r="A8" i="42"/>
  <c r="A9" i="42"/>
  <c r="A10" i="42"/>
  <c r="A11" i="42"/>
  <c r="A12" i="42"/>
  <c r="A13" i="42"/>
  <c r="A14" i="42"/>
  <c r="A15" i="42"/>
  <c r="A16" i="42"/>
  <c r="A17" i="42"/>
  <c r="A2" i="42"/>
  <c r="A3" i="42"/>
  <c r="A1" i="31" l="1"/>
  <c r="BJ2" i="2"/>
  <c r="BK2" i="2"/>
  <c r="BL2" i="2"/>
  <c r="J2" i="2"/>
  <c r="K2" i="2"/>
  <c r="L2" i="2"/>
  <c r="M2" i="2"/>
  <c r="P2" i="2"/>
  <c r="Q2" i="2"/>
  <c r="R2" i="2"/>
  <c r="S2" i="2"/>
  <c r="T2" i="2"/>
  <c r="U2" i="2"/>
  <c r="V2" i="2"/>
  <c r="W2" i="2"/>
  <c r="X2" i="2"/>
  <c r="Y2" i="2"/>
  <c r="Z2" i="2"/>
  <c r="AA2" i="2"/>
  <c r="AB2" i="2"/>
  <c r="AC2" i="2"/>
  <c r="AD2" i="2"/>
  <c r="AE2" i="2"/>
  <c r="AF2" i="2"/>
  <c r="AG2" i="2"/>
  <c r="AH2" i="2"/>
  <c r="AI2" i="2"/>
  <c r="AJ2" i="2"/>
  <c r="AL2" i="2"/>
  <c r="AM2" i="2"/>
  <c r="AN2" i="2"/>
  <c r="AO2" i="2"/>
  <c r="AP2" i="2"/>
  <c r="AQ2" i="2"/>
  <c r="AR2" i="2"/>
  <c r="AS2" i="2"/>
  <c r="AT2" i="2"/>
  <c r="AU2" i="2"/>
  <c r="AV2" i="2"/>
  <c r="AX2" i="2"/>
  <c r="AY2" i="2"/>
  <c r="AZ2" i="2"/>
  <c r="BB2" i="2"/>
  <c r="BC2" i="2"/>
  <c r="BD2" i="2"/>
  <c r="BE2" i="2"/>
  <c r="BF2" i="2"/>
  <c r="BG2" i="2"/>
  <c r="BH2" i="2"/>
  <c r="BI2" i="2"/>
  <c r="BM2" i="2"/>
  <c r="V3" i="32" l="1"/>
  <c r="BD59" i="2" l="1" a="1"/>
  <c r="BD59" i="2" s="1"/>
  <c r="BD58" i="2" a="1"/>
  <c r="BD58" i="2" s="1"/>
  <c r="BD57" i="2" a="1"/>
  <c r="BD57" i="2" s="1"/>
  <c r="BD60" i="2" a="1"/>
  <c r="BD60" i="2" s="1"/>
  <c r="BE59" i="2" l="1"/>
  <c r="BE58" i="2"/>
  <c r="BE57" i="2"/>
  <c r="BD42" i="2" a="1"/>
  <c r="BD42" i="2" s="1"/>
  <c r="BD49" i="2" a="1"/>
  <c r="BD49" i="2" s="1"/>
  <c r="BD37" i="2" a="1"/>
  <c r="BD37" i="2" s="1"/>
  <c r="BE37" i="2" s="1"/>
  <c r="BD33" i="2" a="1"/>
  <c r="BD33" i="2" s="1"/>
  <c r="BD47" i="2" a="1"/>
  <c r="BD47" i="2" s="1"/>
  <c r="BD51" i="2" a="1"/>
  <c r="BD51" i="2" s="1"/>
  <c r="BD39" i="2" a="1"/>
  <c r="BD39" i="2" s="1"/>
  <c r="BD46" i="2" a="1"/>
  <c r="BD46" i="2" s="1"/>
  <c r="BD34" i="2" a="1"/>
  <c r="BD34" i="2" s="1"/>
  <c r="BD52" i="2" a="1"/>
  <c r="BD52" i="2" s="1"/>
  <c r="BE52" i="2" s="1"/>
  <c r="BD35" i="2" a="1"/>
  <c r="BD35" i="2" s="1"/>
  <c r="BD61" i="2" a="1"/>
  <c r="BD61" i="2" s="1"/>
  <c r="BE61" i="2" s="1"/>
  <c r="BE60" i="2"/>
  <c r="BD53" i="2" a="1"/>
  <c r="BD53" i="2" s="1"/>
  <c r="BD41" i="2" a="1"/>
  <c r="BD41" i="2" s="1"/>
  <c r="BD45" i="2" a="1"/>
  <c r="BD45" i="2" s="1"/>
  <c r="BD40" i="2" a="1"/>
  <c r="BD40" i="2" s="1"/>
  <c r="BD56" i="2" a="1"/>
  <c r="BD56" i="2" s="1"/>
  <c r="BD44" i="2" a="1"/>
  <c r="BD44" i="2" s="1"/>
  <c r="BD48" i="2" a="1"/>
  <c r="BD48" i="2" s="1"/>
  <c r="BD36" i="2" a="1"/>
  <c r="BD36" i="2" s="1"/>
  <c r="BD55" i="2" a="1"/>
  <c r="BD55" i="2" s="1"/>
  <c r="BE55" i="2" s="1"/>
  <c r="BD50" i="2" a="1"/>
  <c r="BD50" i="2" s="1"/>
  <c r="BE50" i="2" s="1"/>
  <c r="BD38" i="2" a="1"/>
  <c r="BD38" i="2" s="1"/>
  <c r="BE38" i="2" s="1"/>
  <c r="BD54" i="2" a="1"/>
  <c r="BD54" i="2" s="1"/>
  <c r="BE54" i="2" s="1"/>
  <c r="BD43" i="2" a="1"/>
  <c r="BD43" i="2" s="1"/>
  <c r="BE35" i="2" l="1"/>
  <c r="BE45" i="2"/>
  <c r="BE46" i="2"/>
  <c r="BE36" i="2"/>
  <c r="BE39" i="2"/>
  <c r="BE51" i="2"/>
  <c r="BE34" i="2"/>
  <c r="BE44" i="2"/>
  <c r="BE41" i="2"/>
  <c r="BE33" i="2"/>
  <c r="BE48" i="2"/>
  <c r="BE42" i="2"/>
  <c r="BE56" i="2"/>
  <c r="BE43" i="2"/>
  <c r="BE40" i="2"/>
  <c r="BE47" i="2"/>
  <c r="BE53" i="2"/>
  <c r="BE49" i="2"/>
  <c r="K18" i="5"/>
  <c r="BD28" i="2" l="1" a="1"/>
  <c r="BD28" i="2" s="1"/>
  <c r="BE28" i="2" s="1"/>
  <c r="BD31" i="2" a="1"/>
  <c r="BD31" i="2" s="1"/>
  <c r="BE31" i="2" s="1"/>
  <c r="BD30" i="2" a="1"/>
  <c r="BD30" i="2" s="1"/>
  <c r="BE30" i="2" s="1"/>
  <c r="BD29" i="2" a="1"/>
  <c r="BD29" i="2" s="1"/>
  <c r="BE29" i="2" s="1"/>
  <c r="BD32" i="2" a="1"/>
  <c r="BD32" i="2" s="1"/>
  <c r="BE32" i="2" s="1"/>
  <c r="BD27" i="2" a="1"/>
  <c r="BD27" i="2" s="1"/>
  <c r="BE27" i="2" s="1"/>
  <c r="G4" i="6"/>
  <c r="G2" i="6"/>
  <c r="G3" i="6"/>
  <c r="H3" i="6" l="1"/>
  <c r="M18" i="5" s="1"/>
  <c r="BD15" i="2" l="1" a="1"/>
  <c r="BD15" i="2" s="1"/>
  <c r="BD22" i="2" a="1"/>
  <c r="BD22" i="2" s="1"/>
  <c r="BD10" i="2" a="1"/>
  <c r="BD10" i="2" s="1"/>
  <c r="BD12" i="2" a="1"/>
  <c r="BD12" i="2" s="1"/>
  <c r="BD14" i="2" a="1"/>
  <c r="BD14" i="2" s="1"/>
  <c r="BE14" i="2" s="1"/>
  <c r="BD9" i="2" a="1"/>
  <c r="BD9" i="2" s="1"/>
  <c r="BD24" i="2" a="1"/>
  <c r="BD24" i="2" s="1"/>
  <c r="BE24" i="2" s="1"/>
  <c r="BD19" i="2" a="1"/>
  <c r="BD19" i="2" s="1"/>
  <c r="BD21" i="2" a="1"/>
  <c r="BD21" i="2" s="1"/>
  <c r="BD16" i="2" a="1"/>
  <c r="BD16" i="2" s="1"/>
  <c r="BE16" i="2" s="1"/>
  <c r="BD11" i="2" a="1"/>
  <c r="BD11" i="2" s="1"/>
  <c r="BD18" i="2" a="1"/>
  <c r="BD18" i="2" s="1"/>
  <c r="BE18" i="2" s="1"/>
  <c r="BD26" i="2" a="1"/>
  <c r="BD26" i="2" s="1"/>
  <c r="BE26" i="2" s="1"/>
  <c r="BD13" i="2" a="1"/>
  <c r="BD13" i="2" s="1"/>
  <c r="BE13" i="2" s="1"/>
  <c r="BD17" i="2" a="1"/>
  <c r="BD17" i="2" s="1"/>
  <c r="BE17" i="2" s="1"/>
  <c r="BD23" i="2" a="1"/>
  <c r="BD23" i="2" s="1"/>
  <c r="BE23" i="2" s="1"/>
  <c r="BD25" i="2" a="1"/>
  <c r="BD25" i="2" s="1"/>
  <c r="BE25" i="2" s="1"/>
  <c r="BD20" i="2" a="1"/>
  <c r="BD20" i="2" s="1"/>
  <c r="BD8" i="2" a="1"/>
  <c r="BD8" i="2" s="1"/>
  <c r="S17" i="32" l="1" a="1"/>
  <c r="BE19" i="2"/>
  <c r="BE21" i="2"/>
  <c r="BE10" i="2"/>
  <c r="BE20" i="2"/>
  <c r="BE8" i="2"/>
  <c r="BE22" i="2"/>
  <c r="BE12" i="2"/>
  <c r="BE9" i="2"/>
  <c r="BE15" i="2"/>
  <c r="BE11" i="2"/>
  <c r="BD5" i="2" a="1"/>
  <c r="BD5" i="2" s="1"/>
  <c r="BE5" i="2" s="1"/>
  <c r="BD7" i="2" a="1"/>
  <c r="BD7" i="2" s="1"/>
  <c r="BD6" i="2" a="1"/>
  <c r="BD6" i="2" s="1"/>
  <c r="D84" i="42" a="1"/>
  <c r="D84" i="42" s="1"/>
  <c r="F84" i="42" a="1"/>
  <c r="F84" i="42" s="1"/>
  <c r="D85" i="42" a="1"/>
  <c r="D85" i="42" s="1"/>
  <c r="BD4" i="2" a="1"/>
  <c r="BD4" i="2" s="1"/>
  <c r="BE4" i="2" s="1"/>
  <c r="BE6" i="2" l="1"/>
  <c r="BE7" i="2"/>
  <c r="S37" i="32"/>
  <c r="S17" i="32"/>
  <c r="S30" i="32"/>
  <c r="S28" i="32"/>
  <c r="S23" i="32"/>
  <c r="S33" i="32"/>
  <c r="S21" i="32"/>
  <c r="S18" i="32"/>
  <c r="S27" i="32"/>
  <c r="S34" i="32"/>
  <c r="S31" i="32"/>
  <c r="S24" i="32"/>
  <c r="S32" i="32"/>
  <c r="S29" i="32"/>
  <c r="S26" i="32"/>
  <c r="S22" i="32"/>
  <c r="S20" i="32"/>
  <c r="S36" i="32"/>
  <c r="S19" i="32"/>
  <c r="S25" i="32"/>
  <c r="S35" i="32"/>
  <c r="F85" i="42" a="1"/>
  <c r="F85" i="42" s="1"/>
  <c r="K23" i="32"/>
  <c r="F6" i="31"/>
  <c r="F1" i="31"/>
  <c r="M17" i="32"/>
  <c r="F2" i="31"/>
  <c r="B14" i="10"/>
  <c r="H3" i="11"/>
  <c r="H5" i="11"/>
  <c r="B15" i="10"/>
  <c r="U17" i="32" l="1" a="1"/>
  <c r="T17" i="32" a="1"/>
  <c r="V17" i="32" a="1"/>
  <c r="F7" i="31"/>
  <c r="F3" i="31"/>
  <c r="G1" i="31" s="1"/>
  <c r="M20" i="32" s="1"/>
  <c r="S1" i="31"/>
  <c r="U1" i="31"/>
  <c r="P1" i="31"/>
  <c r="K1" i="31"/>
  <c r="M2" i="31"/>
  <c r="U2" i="31"/>
  <c r="K2" i="31"/>
  <c r="S2" i="31"/>
  <c r="M1" i="31"/>
  <c r="P2" i="31"/>
  <c r="V27" i="32" l="1"/>
  <c r="V22" i="32"/>
  <c r="V34" i="32"/>
  <c r="V32" i="32"/>
  <c r="V24" i="32"/>
  <c r="V17" i="32"/>
  <c r="V25" i="32"/>
  <c r="V26" i="32"/>
  <c r="V23" i="32"/>
  <c r="V30" i="32"/>
  <c r="V33" i="32"/>
  <c r="V35" i="32"/>
  <c r="V21" i="32"/>
  <c r="V18" i="32"/>
  <c r="V37" i="32"/>
  <c r="V29" i="32"/>
  <c r="V20" i="32"/>
  <c r="V31" i="32"/>
  <c r="V19" i="32"/>
  <c r="V36" i="32"/>
  <c r="V28" i="32"/>
  <c r="T23" i="32"/>
  <c r="T28" i="32"/>
  <c r="T22" i="32"/>
  <c r="T17" i="32"/>
  <c r="T31" i="32"/>
  <c r="T35" i="32"/>
  <c r="T32" i="32"/>
  <c r="T27" i="32"/>
  <c r="T34" i="32"/>
  <c r="T20" i="32"/>
  <c r="T37" i="32"/>
  <c r="T33" i="32"/>
  <c r="T24" i="32"/>
  <c r="T30" i="32"/>
  <c r="T26" i="32"/>
  <c r="T25" i="32"/>
  <c r="T36" i="32"/>
  <c r="T21" i="32"/>
  <c r="T19" i="32"/>
  <c r="T18" i="32"/>
  <c r="T29" i="32"/>
  <c r="U21" i="32"/>
  <c r="U25" i="32"/>
  <c r="U31" i="32"/>
  <c r="U36" i="32"/>
  <c r="U30" i="32"/>
  <c r="U35" i="32"/>
  <c r="U26" i="32"/>
  <c r="U37" i="32"/>
  <c r="U29" i="32"/>
  <c r="U27" i="32"/>
  <c r="U18" i="32"/>
  <c r="U24" i="32"/>
  <c r="U19" i="32"/>
  <c r="U28" i="32"/>
  <c r="U34" i="32"/>
  <c r="U32" i="32"/>
  <c r="U20" i="32"/>
  <c r="U23" i="32"/>
  <c r="U33" i="32"/>
  <c r="U17" i="32"/>
  <c r="U22" i="32"/>
  <c r="Q1" i="31"/>
  <c r="K17" i="32" s="1"/>
  <c r="N1" i="31"/>
  <c r="P19" i="32" s="1"/>
  <c r="G2" i="31"/>
  <c r="A2" i="2" l="1"/>
  <c r="B2" i="2"/>
  <c r="C2" i="2"/>
  <c r="D2" i="2"/>
  <c r="E2" i="2"/>
  <c r="F2" i="2"/>
  <c r="G2" i="2"/>
  <c r="H2" i="2"/>
  <c r="I2" i="2"/>
  <c r="I1" i="25"/>
  <c r="I2" i="25"/>
  <c r="N23" i="5"/>
  <c r="I3" i="25"/>
  <c r="F9" i="31" l="1"/>
  <c r="D1" i="2"/>
  <c r="F1" i="2"/>
  <c r="M24" i="5"/>
  <c r="J1" i="2" l="1"/>
  <c r="H2" i="6" l="1"/>
  <c r="H4" i="11"/>
  <c r="G2" i="12"/>
  <c r="K21" i="5"/>
  <c r="G3" i="12"/>
  <c r="H2" i="11"/>
  <c r="I4" i="11" l="1"/>
  <c r="H2" i="12"/>
  <c r="P20" i="5" s="1"/>
  <c r="I5" i="11"/>
  <c r="J4" i="11" l="1"/>
  <c r="K15" i="5" s="1"/>
  <c r="L2" i="13"/>
  <c r="M15" i="5" l="1"/>
  <c r="I5" i="25"/>
  <c r="F8" i="31" l="1"/>
  <c r="G8" i="31" s="1"/>
  <c r="L25" i="32" s="1"/>
  <c r="I4" i="25"/>
  <c r="J4" i="25" l="1"/>
  <c r="L23" i="5" l="1"/>
  <c r="K24" i="5"/>
</calcChain>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90387EF6-055A-4E18-8CF3-DADAD9FF963A}" keepAlive="1" interval="999" name="Requête - downloadFile" description="Connexion à la requête « downloadFile » dans le classeur." type="5" refreshedVersion="6" background="1" refreshOnLoad="1" saveData="1">
    <dbPr connection="Provider=Microsoft.Mashup.OleDb.1;Data Source=$Workbook$;Location=downloadFile;Extended Properties=&quot;&quot;" command="SELECT * FROM [downloadFile]"/>
  </connection>
</connections>
</file>

<file path=xl/sharedStrings.xml><?xml version="1.0" encoding="utf-8"?>
<sst xmlns="http://schemas.openxmlformats.org/spreadsheetml/2006/main" count="972" uniqueCount="269">
  <si>
    <t>Position</t>
  </si>
  <si>
    <t>Symbole</t>
  </si>
  <si>
    <t>Type</t>
  </si>
  <si>
    <t>Volume</t>
  </si>
  <si>
    <t>S / L</t>
  </si>
  <si>
    <t>T / P</t>
  </si>
  <si>
    <t>Commission</t>
  </si>
  <si>
    <t>Echange</t>
  </si>
  <si>
    <t>UsaInd</t>
  </si>
  <si>
    <t>buy</t>
  </si>
  <si>
    <t>sell</t>
  </si>
  <si>
    <t>Equité de départ</t>
  </si>
  <si>
    <t>Sortie</t>
  </si>
  <si>
    <t>Drawdown</t>
  </si>
  <si>
    <t>Points</t>
  </si>
  <si>
    <t>Conformité</t>
  </si>
  <si>
    <t>Conforme</t>
  </si>
  <si>
    <t>Non conforme</t>
  </si>
  <si>
    <t>Profit</t>
  </si>
  <si>
    <t>Type de trade</t>
  </si>
  <si>
    <t>Rebond</t>
  </si>
  <si>
    <t>Break</t>
  </si>
  <si>
    <t>Conviction</t>
  </si>
  <si>
    <t>Timing</t>
  </si>
  <si>
    <t>Lvl Entrée</t>
  </si>
  <si>
    <t>Lvl Sortie</t>
  </si>
  <si>
    <t>TP Théorique atteint</t>
  </si>
  <si>
    <t>Note du trade</t>
  </si>
  <si>
    <t>Résultat</t>
  </si>
  <si>
    <t>TP0</t>
  </si>
  <si>
    <t>Oui</t>
  </si>
  <si>
    <t>Non</t>
  </si>
  <si>
    <t>Commentaire avant trade</t>
  </si>
  <si>
    <t>Commentaire aprés trade</t>
  </si>
  <si>
    <t>Equité avant trade</t>
  </si>
  <si>
    <t>Equité après trade</t>
  </si>
  <si>
    <t>Variation</t>
  </si>
  <si>
    <t>Note du résultat</t>
  </si>
  <si>
    <t>Ecart du TP</t>
  </si>
  <si>
    <t>Ecart du SL</t>
  </si>
  <si>
    <t>RR Avant Trade</t>
  </si>
  <si>
    <t>RR Réel</t>
  </si>
  <si>
    <t>Horodatage ouverture</t>
  </si>
  <si>
    <t>Horodatage cloture</t>
  </si>
  <si>
    <t>Étiquettes de lignes</t>
  </si>
  <si>
    <t>Total général</t>
  </si>
  <si>
    <t>Nombre de Conformité</t>
  </si>
  <si>
    <t>Étiquettes de colonnes</t>
  </si>
  <si>
    <t>Somme de Points</t>
  </si>
  <si>
    <t>Evolution des points</t>
  </si>
  <si>
    <t>Min. de Drawdown</t>
  </si>
  <si>
    <t>Gagnant</t>
  </si>
  <si>
    <t>Perdant</t>
  </si>
  <si>
    <t>Nombre de Résultat</t>
  </si>
  <si>
    <t>Moyenne de Points</t>
  </si>
  <si>
    <t>Max. de Points</t>
  </si>
  <si>
    <t>Min. de Points</t>
  </si>
  <si>
    <t>Somme de points_+</t>
  </si>
  <si>
    <t>Somme de points_-</t>
  </si>
  <si>
    <t>(Tous)</t>
  </si>
  <si>
    <t>Somme des gains</t>
  </si>
  <si>
    <t>Somme des pertes</t>
  </si>
  <si>
    <t>Moyenne de Note du trade</t>
  </si>
  <si>
    <t>Note moyenne de la période</t>
  </si>
  <si>
    <t>Max Drawdown de la période</t>
  </si>
  <si>
    <t>Années</t>
  </si>
  <si>
    <t>Trimestres</t>
  </si>
  <si>
    <t>Mois</t>
  </si>
  <si>
    <t>Point Max Gagnant</t>
  </si>
  <si>
    <t>Point Moyen Gagnant</t>
  </si>
  <si>
    <t>Point Moyen Perdant</t>
  </si>
  <si>
    <t>Point Min Perdant</t>
  </si>
  <si>
    <t>Total Max. de Points</t>
  </si>
  <si>
    <t>Total Moyenne de Points</t>
  </si>
  <si>
    <t>Total Min. de Points</t>
  </si>
  <si>
    <t>Gain de la période</t>
  </si>
  <si>
    <t>Pourcentage de conformité de la période</t>
  </si>
  <si>
    <t>Date début</t>
  </si>
  <si>
    <t>Date fin</t>
  </si>
  <si>
    <t>Ecart en mois début/fin</t>
  </si>
  <si>
    <t>Equité fin de journée</t>
  </si>
  <si>
    <t>Date</t>
  </si>
  <si>
    <t>Heure derniere valeur</t>
  </si>
  <si>
    <t>Heure premiere valeur</t>
  </si>
  <si>
    <t>Equité début de journée</t>
  </si>
  <si>
    <t>Valeur début de journée unique</t>
  </si>
  <si>
    <t>Valeur fin de journée unique</t>
  </si>
  <si>
    <t>% +</t>
  </si>
  <si>
    <t>% -</t>
  </si>
  <si>
    <t>Min. de Horodatage ouverture</t>
  </si>
  <si>
    <t>Max. de Horodatage ouverture</t>
  </si>
  <si>
    <t>Nb de jour de la période</t>
  </si>
  <si>
    <t>Nb de valeur dans la période</t>
  </si>
  <si>
    <t>Nombre de Position</t>
  </si>
  <si>
    <t>Décalage par rapport à la premiere ligne</t>
  </si>
  <si>
    <t>Plage variable profit</t>
  </si>
  <si>
    <t>Plage variable date</t>
  </si>
  <si>
    <t>Equité fin J</t>
  </si>
  <si>
    <t>Equité fin de journée graphique</t>
  </si>
  <si>
    <t>Equité début période</t>
  </si>
  <si>
    <t>Equité Fin période</t>
  </si>
  <si>
    <t>DECALER(BDD!$M$3;'Tableau calendrier dynamique'!$F$3;0;'Tableau calendrier dynamique'!$F$2;1)</t>
  </si>
  <si>
    <t>DECALER(BDD!$A$3;'Tableau calendrier dynamique'!$F$3;0;'Tableau calendrier dynamique'!$F$2;1)</t>
  </si>
  <si>
    <t>DECALER(BDD!$Z$3;'Tableau calendrier dynamique'!$F$3;0;'Tableau calendrier dynamique'!$F$2;1)</t>
  </si>
  <si>
    <t>Recherche date début de période</t>
  </si>
  <si>
    <t>Recherche date fin de période</t>
  </si>
  <si>
    <t>N° de semaine</t>
  </si>
  <si>
    <t>Jour</t>
  </si>
  <si>
    <t>Heure</t>
  </si>
  <si>
    <t>Erreur ratio gain perte</t>
  </si>
  <si>
    <t>Ajout Histo Gagnant Perdant</t>
  </si>
  <si>
    <t>Ajout Semaine</t>
  </si>
  <si>
    <t>Ajout détail journée</t>
  </si>
  <si>
    <t>Ajout Instrument différent</t>
  </si>
  <si>
    <t>v.0.3</t>
  </si>
  <si>
    <t>v.0.4</t>
  </si>
  <si>
    <t>V.0.2</t>
  </si>
  <si>
    <t>v.0.1.1</t>
  </si>
  <si>
    <t>Nb de séance de trading</t>
  </si>
  <si>
    <t>Somme de Nb de séance de trading</t>
  </si>
  <si>
    <t>v.0.3.1</t>
  </si>
  <si>
    <t>v.0.4.1</t>
  </si>
  <si>
    <t>Ajout levier</t>
  </si>
  <si>
    <t>v.0.3.2</t>
  </si>
  <si>
    <t>Modification du comptage colonne BDD avec la formule COLONNE()</t>
  </si>
  <si>
    <t>v.0.6</t>
  </si>
  <si>
    <t>Note relaxation matinale</t>
  </si>
  <si>
    <t>%Var de la période :</t>
  </si>
  <si>
    <t>Nombre de trade sur la période :</t>
  </si>
  <si>
    <t>Points cumulés</t>
  </si>
  <si>
    <t>Variationjour+ Table</t>
  </si>
  <si>
    <t>Variationjour- Table</t>
  </si>
  <si>
    <t>Somme de Gagnant</t>
  </si>
  <si>
    <t>Somme de Perdant</t>
  </si>
  <si>
    <t>Moyenne</t>
  </si>
  <si>
    <t>Min</t>
  </si>
  <si>
    <t>Max</t>
  </si>
  <si>
    <t>Points Gagnant</t>
  </si>
  <si>
    <t>Points perdants</t>
  </si>
  <si>
    <t>Somme de Points Gagnant</t>
  </si>
  <si>
    <t>Somme de Points perdants</t>
  </si>
  <si>
    <t>Moyenne de Points Gagnant</t>
  </si>
  <si>
    <t>Moyenne de Points perdants</t>
  </si>
  <si>
    <t>Min. de Points Gagnant</t>
  </si>
  <si>
    <t>Min. de Points perdants</t>
  </si>
  <si>
    <t>Max. de Points perdants</t>
  </si>
  <si>
    <t>Max. de Points Gagnant</t>
  </si>
  <si>
    <t>Somme Gains</t>
  </si>
  <si>
    <t>Somme Pertes</t>
  </si>
  <si>
    <t xml:space="preserve">Conforme </t>
  </si>
  <si>
    <t xml:space="preserve">Non conforme </t>
  </si>
  <si>
    <t>Total</t>
  </si>
  <si>
    <t>Max Drawdown de la journée</t>
  </si>
  <si>
    <t>Gain de la journée</t>
  </si>
  <si>
    <t>%Var de la journée :</t>
  </si>
  <si>
    <t>Nombre de trade sur la journée :</t>
  </si>
  <si>
    <t>Note moyenne de la journée</t>
  </si>
  <si>
    <t>Pourcentage de conformité de la journée</t>
  </si>
  <si>
    <t>Total Somme de Points</t>
  </si>
  <si>
    <t>Somme gagnant</t>
  </si>
  <si>
    <t>Somme perdant</t>
  </si>
  <si>
    <t>PROFIT FACTOR BEN</t>
  </si>
  <si>
    <r>
      <t xml:space="preserve">Ratio gain perte </t>
    </r>
    <r>
      <rPr>
        <sz val="8"/>
        <color theme="1" tint="0.499984740745262"/>
        <rFont val="Cambria"/>
        <family val="1"/>
        <scheme val="major"/>
      </rPr>
      <t>(sur la moyenne)</t>
    </r>
  </si>
  <si>
    <t>RATIO GAIN PERTE</t>
  </si>
  <si>
    <t>Ajout nb de trade période et nb de trade moyen période</t>
  </si>
  <si>
    <t>Entrée prévue</t>
  </si>
  <si>
    <t>Entrée réel</t>
  </si>
  <si>
    <t>Sortie prévu</t>
  </si>
  <si>
    <t>Sortie réel</t>
  </si>
  <si>
    <t>EUR/USD</t>
  </si>
  <si>
    <t>Levier</t>
  </si>
  <si>
    <t>Somme de Levier</t>
  </si>
  <si>
    <t>Nb de trade du jour</t>
  </si>
  <si>
    <t>Column1</t>
  </si>
  <si>
    <t>Column39</t>
  </si>
  <si>
    <t>03-févr</t>
  </si>
  <si>
    <t>V.0.5</t>
  </si>
  <si>
    <t>04-févr</t>
  </si>
  <si>
    <t>Somme de Conforme</t>
  </si>
  <si>
    <t>Somme de Non conforme</t>
  </si>
  <si>
    <t>05-févr</t>
  </si>
  <si>
    <t>06-févr</t>
  </si>
  <si>
    <t>07-févr</t>
  </si>
  <si>
    <t>Cumul profit</t>
  </si>
  <si>
    <t>Cumul équité</t>
  </si>
  <si>
    <t>Sortie Prévue</t>
  </si>
  <si>
    <t>Sommet Drawdown</t>
  </si>
  <si>
    <t>Creux Drawdown</t>
  </si>
  <si>
    <t>V.0.5.1</t>
  </si>
  <si>
    <t>Ajout reporting sur tableau de bord jours</t>
  </si>
  <si>
    <t>v.0.7</t>
  </si>
  <si>
    <t>Modification calcul drawdown + Récupération auto taux EUR/USD BCE pour levier</t>
  </si>
  <si>
    <t>++</t>
  </si>
  <si>
    <t>+</t>
  </si>
  <si>
    <t>-</t>
  </si>
  <si>
    <t>--</t>
  </si>
  <si>
    <t>0</t>
  </si>
  <si>
    <t>N°</t>
  </si>
  <si>
    <t>Configuration</t>
  </si>
  <si>
    <t>Triangle</t>
  </si>
  <si>
    <t>Range</t>
  </si>
  <si>
    <t>Tendance</t>
  </si>
  <si>
    <t>Haussière</t>
  </si>
  <si>
    <t>Baissière</t>
  </si>
  <si>
    <t>V.0.5.2</t>
  </si>
  <si>
    <t>Ajout tableau d'analyse</t>
  </si>
  <si>
    <t>Version du plan</t>
  </si>
  <si>
    <t>Versions</t>
  </si>
  <si>
    <t>V1</t>
  </si>
  <si>
    <t>V1.1</t>
  </si>
  <si>
    <t>V1.2</t>
  </si>
  <si>
    <t>V2</t>
  </si>
  <si>
    <t>V2.1</t>
  </si>
  <si>
    <t>V2.2</t>
  </si>
  <si>
    <t>V2.3</t>
  </si>
  <si>
    <t>V3</t>
  </si>
  <si>
    <t>V4</t>
  </si>
  <si>
    <t xml:space="preserve">Double </t>
  </si>
  <si>
    <t>Triple</t>
  </si>
  <si>
    <t>BE</t>
  </si>
  <si>
    <t>SW</t>
  </si>
  <si>
    <t>Sw</t>
  </si>
  <si>
    <t>NES</t>
  </si>
  <si>
    <t>Tendance repérée avant trade</t>
  </si>
  <si>
    <t>Psycho</t>
  </si>
  <si>
    <t>Joie</t>
  </si>
  <si>
    <t>Tristesse</t>
  </si>
  <si>
    <t>Colère</t>
  </si>
  <si>
    <t>Dégout</t>
  </si>
  <si>
    <t>Peur</t>
  </si>
  <si>
    <t>Surprise</t>
  </si>
  <si>
    <t xml:space="preserve">Frustration </t>
  </si>
  <si>
    <t>FOMO</t>
  </si>
  <si>
    <t>Psycho avant trade</t>
  </si>
  <si>
    <t>Neutre</t>
  </si>
  <si>
    <t>Commentaires de la journée</t>
  </si>
  <si>
    <t>19-févr</t>
  </si>
  <si>
    <t>Sans objet</t>
  </si>
  <si>
    <t>V.0.5.3</t>
  </si>
  <si>
    <t>Ajout niveaux entrées/sorties prévus dans le tableau de bord jour.</t>
  </si>
  <si>
    <t>V.0.5.4</t>
  </si>
  <si>
    <t>V.0.5.5</t>
  </si>
  <si>
    <t>Ajout de possibilité de journée sans trade avec commentaire (sert pour garder une image de chaque journée même si pas de trade, car ne pas trader c'est trader)</t>
  </si>
  <si>
    <t>Trade n°</t>
  </si>
  <si>
    <t>Ajout d'une zone commentaire dans le tableau de bord jour (sert pour éventuellement garder une image de chaque journée, il faut écrire directement, pas de reporting comme fait dans la V.0.5.3)</t>
  </si>
  <si>
    <t>Dommage le signal est donné juste avant l'ouverture. Je vais suivre le plan à la lettre mais je risque de me faire taper le SL ou le BE</t>
  </si>
  <si>
    <t>Comme prévu BE tapé et TP théorique touché. Mais plan respecté.</t>
  </si>
  <si>
    <t>V4.1</t>
  </si>
  <si>
    <t>Enorme chute, grosse meche sur la ZAP, je ne suis pas sûr que mon plan puisse résister à ce gros mouvement.</t>
  </si>
  <si>
    <t>J'ai préféré couper sur le haut d'un zig-zag. La chute était vraiment énorme (-400 pts en 30 minutes) et on était sur la zone sensible de 29000.</t>
  </si>
  <si>
    <t>Flat</t>
  </si>
  <si>
    <t>17-févr</t>
  </si>
  <si>
    <t>18-févr</t>
  </si>
  <si>
    <t>20-févr</t>
  </si>
  <si>
    <t>variation de la journée</t>
  </si>
  <si>
    <t>V.0.5.6</t>
  </si>
  <si>
    <t>Correction calcul gain % dans le graphique du tableau de bord général</t>
  </si>
  <si>
    <t/>
  </si>
  <si>
    <t>Je venais de revoir mes ZIVIs et ZAPs, je me suis aperçu d'une erreur et j'ai cloturé dès que je m'en suis rendu compte.</t>
  </si>
  <si>
    <t>10-févr</t>
  </si>
  <si>
    <t>11-févr</t>
  </si>
  <si>
    <t>12-févr</t>
  </si>
  <si>
    <t>13-févr</t>
  </si>
  <si>
    <t>14-févr</t>
  </si>
  <si>
    <t>21-févr</t>
  </si>
  <si>
    <t>V.0.5.7</t>
  </si>
  <si>
    <t>Correction prise en compte des frais de commissions overnight/overweek</t>
  </si>
  <si>
    <t>V.0.5.8</t>
  </si>
  <si>
    <t>Correction gros bug sur le tri chronologique des tableaux…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</si>
</sst>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9">
    <numFmt numFmtId="43" formatCode="_-* #,##0.00_-;\-* #,##0.00_-;_-* &quot;-&quot;??_-;_-@_-"/>
    <numFmt numFmtId="164" formatCode="###0;\-###0;0;"/>
    <numFmt numFmtId="165" formatCode="#\ ##0.00;\-#\ ##0.00;0.00;"/>
    <numFmt numFmtId="166" formatCode="_-* #,##0.00\ [$€-40C]_-;\-* #,##0.00\ [$€-40C]_-;_-* &quot;-&quot;??\ [$€-40C]_-;_-@_-"/>
    <numFmt numFmtId="167" formatCode="General\ &quot;Pts&quot;"/>
    <numFmt numFmtId="168" formatCode="0.0"/>
    <numFmt numFmtId="169" formatCode="General&quot;/10&quot;"/>
    <numFmt numFmtId="170" formatCode="##.0&quot; Pts&quot;;\-\ ##.0&quot; Pts&quot;"/>
    <numFmt numFmtId="171" formatCode="0.0_ ;\-0.0\ "/>
    <numFmt numFmtId="172" formatCode="#,##0.00_ ;\-#,##0.00\ "/>
    <numFmt numFmtId="173" formatCode="dd/mm/yy;@"/>
    <numFmt numFmtId="174" formatCode="dddd"/>
    <numFmt numFmtId="175" formatCode="General&quot; h&quot;"/>
    <numFmt numFmtId="176" formatCode="&quot;Soit&quot;\ General\ &quot;par séance en moyenne&quot;"/>
    <numFmt numFmtId="177" formatCode="&quot;Soit&quot;\ 0.00%\ &quot;par séance en moyenne&quot;"/>
    <numFmt numFmtId="178" formatCode="_ * #,##0.0000_ \ [$$-C0C]_ ;_ * \-#,##0.0000\ \ [$$-C0C]_ ;_ * &quot;-&quot;??_ \ [$$-C0C]_ ;_ @_ "/>
    <numFmt numFmtId="179" formatCode="0.000%"/>
    <numFmt numFmtId="180" formatCode="d/m/yy\ h:mm;@"/>
    <numFmt numFmtId="181" formatCode="##0.#&quot; Pts&quot;;\-\ ##0.#&quot; Pts&quot;;&quot;&quot;"/>
  </numFmts>
  <fonts count="19" x14ac:knownFonts="1">
    <font>
      <sz val="11"/>
      <color rgb="FF000000"/>
      <name val="Tahoma"/>
    </font>
    <font>
      <sz val="11"/>
      <color rgb="FF000000"/>
      <name val="Tahoma"/>
      <family val="2"/>
    </font>
    <font>
      <sz val="11"/>
      <color rgb="FF000000"/>
      <name val="Tahoma"/>
      <family val="2"/>
    </font>
    <font>
      <sz val="8"/>
      <name val="Tahoma"/>
      <family val="2"/>
    </font>
    <font>
      <sz val="11"/>
      <color theme="1" tint="0.499984740745262"/>
      <name val="Cambria"/>
      <family val="1"/>
      <scheme val="major"/>
    </font>
    <font>
      <sz val="16"/>
      <color theme="1" tint="0.499984740745262"/>
      <name val="Cambria"/>
      <family val="1"/>
      <scheme val="major"/>
    </font>
    <font>
      <sz val="12"/>
      <color theme="1" tint="0.499984740745262"/>
      <name val="Cambria"/>
      <family val="1"/>
      <scheme val="major"/>
    </font>
    <font>
      <sz val="9"/>
      <color rgb="FF000000"/>
      <name val="Cambria"/>
      <family val="1"/>
      <scheme val="major"/>
    </font>
    <font>
      <sz val="9"/>
      <name val="Cambria"/>
      <family val="1"/>
      <scheme val="major"/>
    </font>
    <font>
      <b/>
      <sz val="9"/>
      <color theme="0"/>
      <name val="Cambria"/>
      <family val="1"/>
      <scheme val="major"/>
    </font>
    <font>
      <sz val="9"/>
      <color theme="0"/>
      <name val="Cambria"/>
      <family val="1"/>
      <scheme val="major"/>
    </font>
    <font>
      <sz val="11"/>
      <color rgb="FF000000"/>
      <name val="Cambria"/>
      <family val="1"/>
      <scheme val="major"/>
    </font>
    <font>
      <i/>
      <sz val="12"/>
      <color theme="1" tint="0.499984740745262"/>
      <name val="Cambria"/>
      <family val="1"/>
      <scheme val="major"/>
    </font>
    <font>
      <sz val="8"/>
      <color theme="1" tint="0.499984740745262"/>
      <name val="Cambria"/>
      <family val="1"/>
      <scheme val="major"/>
    </font>
    <font>
      <sz val="11"/>
      <color theme="0" tint="-0.34998626667073579"/>
      <name val="Cambria"/>
      <family val="1"/>
      <scheme val="major"/>
    </font>
    <font>
      <b/>
      <sz val="9"/>
      <color rgb="FFFFC000"/>
      <name val="Cambria"/>
      <family val="1"/>
      <scheme val="major"/>
    </font>
    <font>
      <sz val="11"/>
      <name val="Cambria"/>
      <family val="1"/>
      <scheme val="major"/>
    </font>
    <font>
      <sz val="16"/>
      <color theme="0"/>
      <name val="Cambria"/>
      <family val="1"/>
      <scheme val="major"/>
    </font>
    <font>
      <sz val="16"/>
      <color theme="1" tint="0.34998626667073579"/>
      <name val="Cambria"/>
      <family val="1"/>
      <scheme val="major"/>
    </font>
  </fonts>
  <fills count="21">
    <fill>
      <patternFill patternType="none"/>
    </fill>
    <fill>
      <patternFill patternType="gray125"/>
    </fill>
    <fill>
      <patternFill patternType="solid">
        <fgColor theme="0"/>
        <bgColor indexed="64"/>
      </patternFill>
    </fill>
    <fill>
      <patternFill patternType="solid">
        <fgColor theme="0"/>
        <bgColor theme="4" tint="-0.249977111117893"/>
      </patternFill>
    </fill>
    <fill>
      <patternFill patternType="solid">
        <fgColor rgb="FFC00000"/>
        <bgColor indexed="64"/>
      </patternFill>
    </fill>
    <fill>
      <patternFill patternType="solid">
        <fgColor theme="6" tint="0.59999389629810485"/>
        <bgColor indexed="64"/>
      </patternFill>
    </fill>
    <fill>
      <patternFill patternType="solid">
        <fgColor theme="6" tint="-0.249977111117893"/>
        <bgColor indexed="64"/>
      </patternFill>
    </fill>
    <fill>
      <patternFill patternType="solid">
        <fgColor theme="6" tint="0.39997558519241921"/>
        <bgColor indexed="64"/>
      </patternFill>
    </fill>
    <fill>
      <patternFill patternType="solid">
        <fgColor theme="6" tint="0.79998168889431442"/>
        <bgColor indexed="64"/>
      </patternFill>
    </fill>
    <fill>
      <patternFill patternType="solid">
        <fgColor theme="0" tint="-0.34998626667073579"/>
        <bgColor indexed="64"/>
      </patternFill>
    </fill>
    <fill>
      <patternFill patternType="solid">
        <fgColor theme="0" tint="-0.14999847407452621"/>
        <bgColor indexed="64"/>
      </patternFill>
    </fill>
    <fill>
      <patternFill patternType="solid">
        <fgColor theme="0" tint="-0.249977111117893"/>
        <bgColor indexed="64"/>
      </patternFill>
    </fill>
    <fill>
      <patternFill patternType="solid">
        <fgColor theme="9"/>
        <bgColor indexed="64"/>
      </patternFill>
    </fill>
    <fill>
      <patternFill patternType="solid">
        <fgColor theme="9" tint="0.59999389629810485"/>
        <bgColor indexed="64"/>
      </patternFill>
    </fill>
    <fill>
      <patternFill patternType="solid">
        <fgColor theme="9" tint="0.39997558519241921"/>
        <bgColor indexed="64"/>
      </patternFill>
    </fill>
    <fill>
      <patternFill patternType="solid">
        <fgColor theme="5"/>
        <bgColor indexed="64"/>
      </patternFill>
    </fill>
    <fill>
      <patternFill patternType="solid">
        <fgColor theme="5" tint="0.59999389629810485"/>
        <bgColor indexed="64"/>
      </patternFill>
    </fill>
    <fill>
      <patternFill patternType="solid">
        <fgColor theme="5" tint="0.39997558519241921"/>
        <bgColor indexed="64"/>
      </patternFill>
    </fill>
    <fill>
      <patternFill patternType="solid">
        <fgColor theme="4"/>
        <bgColor indexed="64"/>
      </patternFill>
    </fill>
    <fill>
      <patternFill patternType="solid">
        <fgColor theme="4" tint="0.59999389629810485"/>
        <bgColor indexed="64"/>
      </patternFill>
    </fill>
    <fill>
      <patternFill patternType="solid">
        <fgColor theme="4" tint="0.39997558519241921"/>
        <bgColor indexed="64"/>
      </patternFill>
    </fill>
  </fills>
  <borders count="21">
    <border>
      <left/>
      <right/>
      <top/>
      <bottom/>
      <diagonal/>
    </border>
    <border>
      <left style="hair">
        <color auto="1"/>
      </left>
      <right style="hair">
        <color auto="1"/>
      </right>
      <top style="hair">
        <color auto="1"/>
      </top>
      <bottom style="hair">
        <color auto="1"/>
      </bottom>
      <diagonal/>
    </border>
    <border>
      <left style="thin">
        <color theme="0"/>
      </left>
      <right style="thin">
        <color theme="0"/>
      </right>
      <top style="thin">
        <color theme="0"/>
      </top>
      <bottom style="thin">
        <color theme="0"/>
      </bottom>
      <diagonal/>
    </border>
    <border>
      <left/>
      <right/>
      <top/>
      <bottom style="thin">
        <color theme="0"/>
      </bottom>
      <diagonal/>
    </border>
    <border>
      <left/>
      <right/>
      <top style="thin">
        <color theme="0"/>
      </top>
      <bottom style="thin">
        <color theme="0"/>
      </bottom>
      <diagonal/>
    </border>
    <border>
      <left style="thin">
        <color theme="0"/>
      </left>
      <right style="thin">
        <color theme="0"/>
      </right>
      <top style="thin">
        <color theme="0"/>
      </top>
      <bottom style="double">
        <color theme="0"/>
      </bottom>
      <diagonal/>
    </border>
    <border>
      <left style="thin">
        <color theme="0"/>
      </left>
      <right style="thin">
        <color theme="0"/>
      </right>
      <top/>
      <bottom style="thin">
        <color theme="0"/>
      </bottom>
      <diagonal/>
    </border>
    <border>
      <left/>
      <right/>
      <top style="thin">
        <color theme="0"/>
      </top>
      <bottom style="double">
        <color theme="0"/>
      </bottom>
      <diagonal/>
    </border>
    <border>
      <left/>
      <right/>
      <top/>
      <bottom style="double">
        <color theme="0"/>
      </bottom>
      <diagonal/>
    </border>
    <border>
      <left/>
      <right/>
      <top/>
      <bottom style="slantDashDot">
        <color theme="0"/>
      </bottom>
      <diagonal/>
    </border>
    <border>
      <left style="hair">
        <color auto="1"/>
      </left>
      <right/>
      <top style="hair">
        <color auto="1"/>
      </top>
      <bottom/>
      <diagonal/>
    </border>
    <border>
      <left/>
      <right/>
      <top style="hair">
        <color auto="1"/>
      </top>
      <bottom/>
      <diagonal/>
    </border>
    <border>
      <left/>
      <right style="hair">
        <color auto="1"/>
      </right>
      <top style="hair">
        <color auto="1"/>
      </top>
      <bottom/>
      <diagonal/>
    </border>
    <border>
      <left style="hair">
        <color auto="1"/>
      </left>
      <right/>
      <top/>
      <bottom/>
      <diagonal/>
    </border>
    <border>
      <left/>
      <right style="hair">
        <color auto="1"/>
      </right>
      <top/>
      <bottom/>
      <diagonal/>
    </border>
    <border>
      <left style="hair">
        <color auto="1"/>
      </left>
      <right/>
      <top/>
      <bottom style="hair">
        <color auto="1"/>
      </bottom>
      <diagonal/>
    </border>
    <border>
      <left/>
      <right/>
      <top/>
      <bottom style="hair">
        <color auto="1"/>
      </bottom>
      <diagonal/>
    </border>
    <border>
      <left/>
      <right style="hair">
        <color auto="1"/>
      </right>
      <top/>
      <bottom style="hair">
        <color auto="1"/>
      </bottom>
      <diagonal/>
    </border>
    <border>
      <left style="hair">
        <color auto="1"/>
      </left>
      <right/>
      <top style="hair">
        <color auto="1"/>
      </top>
      <bottom style="hair">
        <color auto="1"/>
      </bottom>
      <diagonal/>
    </border>
    <border>
      <left/>
      <right/>
      <top style="hair">
        <color auto="1"/>
      </top>
      <bottom style="hair">
        <color auto="1"/>
      </bottom>
      <diagonal/>
    </border>
    <border>
      <left/>
      <right style="hair">
        <color auto="1"/>
      </right>
      <top style="hair">
        <color auto="1"/>
      </top>
      <bottom style="hair">
        <color auto="1"/>
      </bottom>
      <diagonal/>
    </border>
  </borders>
  <cellStyleXfs count="3">
    <xf numFmtId="0" fontId="0" fillId="0" borderId="0"/>
    <xf numFmtId="9" fontId="1" fillId="0" borderId="0" applyFont="0" applyFill="0" applyBorder="0" applyAlignment="0" applyProtection="0"/>
    <xf numFmtId="43" fontId="1" fillId="0" borderId="0" applyFont="0" applyFill="0" applyBorder="0" applyAlignment="0" applyProtection="0"/>
  </cellStyleXfs>
  <cellXfs count="167">
    <xf numFmtId="0" fontId="0" fillId="0" borderId="0" xfId="0"/>
    <xf numFmtId="0" fontId="0" fillId="2" borderId="0" xfId="0" applyFill="1"/>
    <xf numFmtId="0" fontId="2" fillId="2" borderId="0" xfId="0" applyFont="1" applyFill="1"/>
    <xf numFmtId="0" fontId="0" fillId="0" borderId="0" xfId="0" pivotButton="1"/>
    <xf numFmtId="0" fontId="0" fillId="0" borderId="0" xfId="0" applyAlignment="1">
      <alignment horizontal="left"/>
    </xf>
    <xf numFmtId="0" fontId="0" fillId="0" borderId="0" xfId="0" applyNumberFormat="1"/>
    <xf numFmtId="10" fontId="0" fillId="0" borderId="0" xfId="0" applyNumberFormat="1"/>
    <xf numFmtId="0" fontId="2" fillId="0" borderId="0" xfId="0" applyFont="1"/>
    <xf numFmtId="9" fontId="0" fillId="0" borderId="0" xfId="1" applyFont="1"/>
    <xf numFmtId="168" fontId="0" fillId="0" borderId="0" xfId="0" applyNumberFormat="1"/>
    <xf numFmtId="167" fontId="0" fillId="0" borderId="0" xfId="0" applyNumberFormat="1"/>
    <xf numFmtId="22" fontId="0" fillId="0" borderId="0" xfId="0" applyNumberFormat="1" applyAlignment="1">
      <alignment horizontal="left"/>
    </xf>
    <xf numFmtId="9" fontId="2" fillId="0" borderId="0" xfId="1" applyFont="1"/>
    <xf numFmtId="0" fontId="4" fillId="0" borderId="0" xfId="0" applyFont="1"/>
    <xf numFmtId="169" fontId="5" fillId="0" borderId="0" xfId="0" applyNumberFormat="1" applyFont="1" applyAlignment="1">
      <alignment horizontal="center" vertical="center"/>
    </xf>
    <xf numFmtId="10" fontId="5" fillId="0" borderId="0" xfId="1" applyNumberFormat="1" applyFont="1" applyAlignment="1">
      <alignment horizontal="center" vertical="center"/>
    </xf>
    <xf numFmtId="170" fontId="5" fillId="0" borderId="0" xfId="0" applyNumberFormat="1" applyFont="1" applyAlignment="1">
      <alignment horizontal="center" vertical="center"/>
    </xf>
    <xf numFmtId="171" fontId="5" fillId="0" borderId="0" xfId="0" applyNumberFormat="1" applyFont="1" applyAlignment="1">
      <alignment horizontal="center" vertical="center"/>
    </xf>
    <xf numFmtId="171" fontId="5" fillId="0" borderId="0" xfId="0" applyNumberFormat="1" applyFont="1" applyAlignment="1">
      <alignment vertical="center"/>
    </xf>
    <xf numFmtId="9" fontId="0" fillId="0" borderId="0" xfId="1" applyFont="1" applyAlignment="1"/>
    <xf numFmtId="9" fontId="5" fillId="0" borderId="0" xfId="1" applyFont="1" applyAlignment="1">
      <alignment horizontal="center" vertical="center"/>
    </xf>
    <xf numFmtId="10" fontId="0" fillId="0" borderId="0" xfId="1" applyNumberFormat="1" applyFont="1"/>
    <xf numFmtId="0" fontId="6" fillId="0" borderId="0" xfId="0" applyFont="1" applyAlignment="1">
      <alignment horizontal="center" vertical="center"/>
    </xf>
    <xf numFmtId="172" fontId="5" fillId="0" borderId="0" xfId="0" applyNumberFormat="1" applyFont="1" applyAlignment="1">
      <alignment horizontal="center" vertical="top"/>
    </xf>
    <xf numFmtId="0" fontId="7" fillId="2" borderId="0" xfId="0" applyFont="1" applyFill="1" applyAlignment="1" applyProtection="1">
      <alignment vertical="center"/>
    </xf>
    <xf numFmtId="22" fontId="8" fillId="3" borderId="0" xfId="0" applyNumberFormat="1" applyFont="1" applyFill="1" applyBorder="1" applyAlignment="1" applyProtection="1">
      <alignment horizontal="right" vertical="center"/>
    </xf>
    <xf numFmtId="166" fontId="7" fillId="2" borderId="0" xfId="1" applyNumberFormat="1" applyFont="1" applyFill="1" applyAlignment="1" applyProtection="1">
      <alignment vertical="center"/>
    </xf>
    <xf numFmtId="0" fontId="10" fillId="2" borderId="0" xfId="0" applyFont="1" applyFill="1" applyAlignment="1" applyProtection="1">
      <alignment horizontal="center" vertical="center"/>
      <protection locked="0"/>
    </xf>
    <xf numFmtId="22" fontId="7" fillId="0" borderId="0" xfId="0" applyNumberFormat="1" applyFont="1" applyFill="1" applyBorder="1" applyAlignment="1" applyProtection="1">
      <alignment horizontal="right" vertical="center"/>
      <protection locked="0"/>
    </xf>
    <xf numFmtId="164" fontId="7" fillId="0" borderId="0" xfId="0" applyNumberFormat="1" applyFont="1" applyFill="1" applyBorder="1" applyAlignment="1" applyProtection="1">
      <alignment horizontal="right" vertical="center"/>
      <protection locked="0"/>
    </xf>
    <xf numFmtId="0" fontId="7" fillId="0" borderId="0" xfId="0" applyFont="1" applyFill="1" applyBorder="1" applyAlignment="1" applyProtection="1">
      <alignment horizontal="center" vertical="center"/>
      <protection locked="0"/>
    </xf>
    <xf numFmtId="165" fontId="7" fillId="0" borderId="0" xfId="0" applyNumberFormat="1" applyFont="1" applyFill="1" applyBorder="1" applyAlignment="1" applyProtection="1">
      <alignment horizontal="right" vertical="center"/>
      <protection locked="0"/>
    </xf>
    <xf numFmtId="166" fontId="7" fillId="0" borderId="0" xfId="1" applyNumberFormat="1" applyFont="1" applyFill="1" applyBorder="1" applyAlignment="1" applyProtection="1">
      <alignment horizontal="right" vertical="center"/>
      <protection locked="0"/>
    </xf>
    <xf numFmtId="167" fontId="7" fillId="0" borderId="0" xfId="1" applyNumberFormat="1" applyFont="1" applyFill="1" applyBorder="1" applyAlignment="1" applyProtection="1">
      <alignment horizontal="center" vertical="center"/>
      <protection locked="0"/>
    </xf>
    <xf numFmtId="0" fontId="7" fillId="0" borderId="0" xfId="1" applyNumberFormat="1" applyFont="1" applyFill="1" applyBorder="1" applyAlignment="1" applyProtection="1">
      <alignment horizontal="center" vertical="center"/>
      <protection locked="0"/>
    </xf>
    <xf numFmtId="10" fontId="7" fillId="0" borderId="0" xfId="1" applyNumberFormat="1" applyFont="1" applyFill="1" applyBorder="1" applyAlignment="1" applyProtection="1">
      <alignment horizontal="right" vertical="center"/>
      <protection locked="0"/>
    </xf>
    <xf numFmtId="167" fontId="7" fillId="0" borderId="0" xfId="1" applyNumberFormat="1" applyFont="1" applyFill="1" applyBorder="1" applyAlignment="1" applyProtection="1">
      <alignment horizontal="right" vertical="center"/>
      <protection locked="0"/>
    </xf>
    <xf numFmtId="0" fontId="7" fillId="0" borderId="0" xfId="0" applyFont="1" applyFill="1" applyAlignment="1" applyProtection="1">
      <alignment horizontal="center" vertical="center"/>
      <protection locked="0"/>
    </xf>
    <xf numFmtId="0" fontId="8" fillId="0" borderId="0" xfId="0" applyFont="1" applyFill="1" applyAlignment="1" applyProtection="1">
      <alignment horizontal="center" vertical="center"/>
      <protection locked="0"/>
    </xf>
    <xf numFmtId="0" fontId="7" fillId="2" borderId="0" xfId="0" applyFont="1" applyFill="1" applyAlignment="1" applyProtection="1">
      <alignment vertical="center"/>
      <protection locked="0"/>
    </xf>
    <xf numFmtId="0" fontId="7" fillId="0" borderId="0" xfId="0" applyNumberFormat="1" applyFont="1" applyFill="1" applyAlignment="1" applyProtection="1">
      <alignment horizontal="center" vertical="center"/>
      <protection locked="0"/>
    </xf>
    <xf numFmtId="0" fontId="7" fillId="2" borderId="0" xfId="0" applyFont="1" applyFill="1" applyAlignment="1" applyProtection="1">
      <alignment horizontal="center" vertical="center"/>
      <protection locked="0"/>
    </xf>
    <xf numFmtId="166" fontId="7" fillId="2" borderId="0" xfId="1" applyNumberFormat="1" applyFont="1" applyFill="1" applyAlignment="1" applyProtection="1">
      <alignment vertical="center"/>
      <protection locked="0"/>
    </xf>
    <xf numFmtId="167" fontId="7" fillId="2" borderId="0" xfId="1" applyNumberFormat="1" applyFont="1" applyFill="1" applyAlignment="1" applyProtection="1">
      <alignment horizontal="center" vertical="center"/>
      <protection locked="0"/>
    </xf>
    <xf numFmtId="0" fontId="7" fillId="2" borderId="0" xfId="1" applyNumberFormat="1" applyFont="1" applyFill="1" applyAlignment="1" applyProtection="1">
      <alignment horizontal="center" vertical="center"/>
      <protection locked="0"/>
    </xf>
    <xf numFmtId="166" fontId="7" fillId="2" borderId="0" xfId="0" applyNumberFormat="1" applyFont="1" applyFill="1" applyAlignment="1" applyProtection="1">
      <alignment vertical="center"/>
      <protection locked="0"/>
    </xf>
    <xf numFmtId="10" fontId="7" fillId="2" borderId="0" xfId="1" applyNumberFormat="1" applyFont="1" applyFill="1" applyAlignment="1" applyProtection="1">
      <alignment vertical="center"/>
      <protection locked="0"/>
    </xf>
    <xf numFmtId="167" fontId="7" fillId="2" borderId="0" xfId="0" applyNumberFormat="1" applyFont="1" applyFill="1" applyAlignment="1" applyProtection="1">
      <alignment vertical="center"/>
      <protection locked="0"/>
    </xf>
    <xf numFmtId="0" fontId="7" fillId="2" borderId="0" xfId="0" applyFont="1" applyFill="1" applyBorder="1" applyAlignment="1" applyProtection="1">
      <alignment vertical="center"/>
      <protection locked="0"/>
    </xf>
    <xf numFmtId="0" fontId="7" fillId="2" borderId="0" xfId="0" applyFont="1" applyFill="1" applyAlignment="1" applyProtection="1">
      <alignment horizontal="right" vertical="center"/>
    </xf>
    <xf numFmtId="0" fontId="7" fillId="2" borderId="0" xfId="0" applyNumberFormat="1" applyFont="1" applyFill="1" applyAlignment="1" applyProtection="1">
      <alignment horizontal="left" vertical="center"/>
    </xf>
    <xf numFmtId="166" fontId="10" fillId="4" borderId="0" xfId="0" applyNumberFormat="1" applyFont="1" applyFill="1" applyAlignment="1" applyProtection="1">
      <alignment vertical="center"/>
    </xf>
    <xf numFmtId="14" fontId="7" fillId="0" borderId="0" xfId="1" applyNumberFormat="1" applyFont="1" applyFill="1" applyBorder="1" applyAlignment="1" applyProtection="1">
      <alignment horizontal="right" vertical="center"/>
      <protection locked="0"/>
    </xf>
    <xf numFmtId="14" fontId="7" fillId="2" borderId="0" xfId="1" applyNumberFormat="1" applyFont="1" applyFill="1" applyAlignment="1" applyProtection="1">
      <alignment vertical="center"/>
      <protection locked="0"/>
    </xf>
    <xf numFmtId="14" fontId="7" fillId="2" borderId="0" xfId="0" applyNumberFormat="1" applyFont="1" applyFill="1" applyAlignment="1" applyProtection="1">
      <alignment vertical="center"/>
      <protection locked="0"/>
    </xf>
    <xf numFmtId="43" fontId="7" fillId="2" borderId="0" xfId="2" applyFont="1" applyFill="1" applyAlignment="1" applyProtection="1">
      <alignment vertical="center"/>
      <protection locked="0"/>
    </xf>
    <xf numFmtId="173" fontId="0" fillId="0" borderId="0" xfId="0" applyNumberFormat="1"/>
    <xf numFmtId="14" fontId="0" fillId="0" borderId="0" xfId="0" applyNumberFormat="1"/>
    <xf numFmtId="0" fontId="1" fillId="0" borderId="0" xfId="0" applyFont="1"/>
    <xf numFmtId="166" fontId="0" fillId="0" borderId="0" xfId="0" applyNumberFormat="1"/>
    <xf numFmtId="0" fontId="8" fillId="2" borderId="0" xfId="2" applyNumberFormat="1" applyFont="1" applyFill="1" applyAlignment="1" applyProtection="1">
      <alignment horizontal="center" vertical="center"/>
    </xf>
    <xf numFmtId="174" fontId="7" fillId="0" borderId="0" xfId="1" applyNumberFormat="1" applyFont="1" applyFill="1" applyBorder="1" applyAlignment="1" applyProtection="1">
      <alignment horizontal="right" vertical="center"/>
      <protection locked="0"/>
    </xf>
    <xf numFmtId="174" fontId="7" fillId="2" borderId="0" xfId="1" applyNumberFormat="1" applyFont="1" applyFill="1" applyAlignment="1" applyProtection="1">
      <alignment vertical="center"/>
      <protection locked="0"/>
    </xf>
    <xf numFmtId="175" fontId="7" fillId="0" borderId="0" xfId="1" applyNumberFormat="1" applyFont="1" applyFill="1" applyBorder="1" applyAlignment="1" applyProtection="1">
      <alignment horizontal="right" vertical="center"/>
      <protection locked="0"/>
    </xf>
    <xf numFmtId="175" fontId="7" fillId="2" borderId="0" xfId="1" applyNumberFormat="1" applyFont="1" applyFill="1" applyAlignment="1" applyProtection="1">
      <alignment vertical="center"/>
      <protection locked="0"/>
    </xf>
    <xf numFmtId="2" fontId="0" fillId="0" borderId="0" xfId="0" applyNumberFormat="1"/>
    <xf numFmtId="0" fontId="11" fillId="0" borderId="0" xfId="0" applyFont="1"/>
    <xf numFmtId="0" fontId="11" fillId="0" borderId="0" xfId="0" applyFont="1" applyAlignment="1">
      <alignment horizontal="center" vertical="center"/>
    </xf>
    <xf numFmtId="0" fontId="7" fillId="0" borderId="0" xfId="1" applyNumberFormat="1" applyFont="1" applyFill="1" applyBorder="1" applyAlignment="1" applyProtection="1">
      <alignment horizontal="right" vertical="center"/>
      <protection locked="0"/>
    </xf>
    <xf numFmtId="0" fontId="7" fillId="2" borderId="0" xfId="1" applyNumberFormat="1" applyFont="1" applyFill="1" applyAlignment="1" applyProtection="1">
      <alignment vertical="center"/>
      <protection locked="0"/>
    </xf>
    <xf numFmtId="0" fontId="5" fillId="0" borderId="0" xfId="0" applyNumberFormat="1" applyFont="1" applyAlignment="1">
      <alignment horizontal="left" vertical="top"/>
    </xf>
    <xf numFmtId="176" fontId="12" fillId="0" borderId="0" xfId="0" applyNumberFormat="1" applyFont="1" applyAlignment="1">
      <alignment horizontal="center" vertical="center"/>
    </xf>
    <xf numFmtId="10" fontId="5" fillId="0" borderId="0" xfId="0" applyNumberFormat="1" applyFont="1" applyAlignment="1">
      <alignment horizontal="left" vertical="center"/>
    </xf>
    <xf numFmtId="177" fontId="12" fillId="0" borderId="0" xfId="0" applyNumberFormat="1" applyFont="1" applyAlignment="1">
      <alignment horizontal="center" vertical="center"/>
    </xf>
    <xf numFmtId="0" fontId="7" fillId="2" borderId="0" xfId="0" applyNumberFormat="1" applyFont="1" applyFill="1" applyAlignment="1" applyProtection="1">
      <alignment vertical="center"/>
      <protection locked="0"/>
    </xf>
    <xf numFmtId="2" fontId="1" fillId="0" borderId="0" xfId="0" applyNumberFormat="1" applyFont="1"/>
    <xf numFmtId="0" fontId="11" fillId="0" borderId="0" xfId="0" applyFont="1" applyProtection="1"/>
    <xf numFmtId="0" fontId="6" fillId="0" borderId="0" xfId="0" applyFont="1" applyAlignment="1" applyProtection="1">
      <alignment horizontal="center" vertical="center"/>
    </xf>
    <xf numFmtId="9" fontId="5" fillId="0" borderId="0" xfId="1" applyFont="1" applyAlignment="1" applyProtection="1">
      <alignment horizontal="center" vertical="center"/>
    </xf>
    <xf numFmtId="172" fontId="5" fillId="0" borderId="0" xfId="0" applyNumberFormat="1" applyFont="1" applyAlignment="1" applyProtection="1">
      <alignment horizontal="center" vertical="top"/>
    </xf>
    <xf numFmtId="10" fontId="5" fillId="0" borderId="0" xfId="0" applyNumberFormat="1" applyFont="1" applyAlignment="1" applyProtection="1">
      <alignment horizontal="left" vertical="center"/>
    </xf>
    <xf numFmtId="0" fontId="5" fillId="0" borderId="0" xfId="0" applyNumberFormat="1" applyFont="1" applyAlignment="1" applyProtection="1">
      <alignment horizontal="left" vertical="top"/>
    </xf>
    <xf numFmtId="176" fontId="12" fillId="0" borderId="0" xfId="0" applyNumberFormat="1" applyFont="1" applyAlignment="1" applyProtection="1">
      <alignment horizontal="center" vertical="center"/>
    </xf>
    <xf numFmtId="169" fontId="5" fillId="0" borderId="0" xfId="0" applyNumberFormat="1" applyFont="1" applyAlignment="1" applyProtection="1">
      <alignment horizontal="center" vertical="center"/>
    </xf>
    <xf numFmtId="171" fontId="5" fillId="0" borderId="0" xfId="0" applyNumberFormat="1" applyFont="1" applyAlignment="1" applyProtection="1">
      <alignment horizontal="center" vertical="center"/>
    </xf>
    <xf numFmtId="168" fontId="5" fillId="0" borderId="0" xfId="0" applyNumberFormat="1" applyFont="1" applyAlignment="1">
      <alignment horizontal="center" vertical="center"/>
    </xf>
    <xf numFmtId="0" fontId="14" fillId="0" borderId="0" xfId="0" applyFont="1"/>
    <xf numFmtId="0" fontId="14" fillId="0" borderId="1" xfId="0" applyFont="1" applyBorder="1" applyAlignment="1">
      <alignment horizontal="center" vertical="center" wrapText="1"/>
    </xf>
    <xf numFmtId="0" fontId="14" fillId="0" borderId="1" xfId="0" applyFont="1" applyBorder="1"/>
    <xf numFmtId="168" fontId="7" fillId="0" borderId="0" xfId="0" applyNumberFormat="1" applyFont="1" applyFill="1" applyAlignment="1" applyProtection="1">
      <alignment horizontal="center" vertical="center"/>
      <protection locked="0"/>
    </xf>
    <xf numFmtId="168" fontId="7" fillId="2" borderId="0" xfId="0" applyNumberFormat="1" applyFont="1" applyFill="1" applyAlignment="1" applyProtection="1">
      <alignment horizontal="center" vertical="center"/>
      <protection locked="0"/>
    </xf>
    <xf numFmtId="178" fontId="7" fillId="0" borderId="0" xfId="0" applyNumberFormat="1" applyFont="1" applyFill="1" applyAlignment="1" applyProtection="1">
      <alignment horizontal="center" vertical="center"/>
      <protection locked="0"/>
    </xf>
    <xf numFmtId="178" fontId="7" fillId="2" borderId="0" xfId="0" applyNumberFormat="1" applyFont="1" applyFill="1" applyAlignment="1" applyProtection="1">
      <alignment horizontal="center" vertical="center"/>
      <protection locked="0"/>
    </xf>
    <xf numFmtId="22" fontId="7" fillId="0" borderId="0" xfId="0" applyNumberFormat="1" applyFont="1" applyFill="1" applyAlignment="1" applyProtection="1">
      <alignment horizontal="right" vertical="center"/>
      <protection locked="0"/>
    </xf>
    <xf numFmtId="164" fontId="7" fillId="0" borderId="0" xfId="0" applyNumberFormat="1" applyFont="1" applyFill="1" applyAlignment="1" applyProtection="1">
      <alignment horizontal="right" vertical="center"/>
      <protection locked="0"/>
    </xf>
    <xf numFmtId="165" fontId="7" fillId="0" borderId="0" xfId="0" applyNumberFormat="1" applyFont="1" applyFill="1" applyAlignment="1" applyProtection="1">
      <alignment horizontal="right" vertical="center"/>
      <protection locked="0"/>
    </xf>
    <xf numFmtId="14" fontId="0" fillId="0" borderId="0" xfId="0" applyNumberFormat="1" applyAlignment="1">
      <alignment horizontal="left"/>
    </xf>
    <xf numFmtId="179" fontId="7" fillId="0" borderId="0" xfId="1" applyNumberFormat="1" applyFont="1" applyFill="1" applyAlignment="1" applyProtection="1">
      <alignment horizontal="right" vertical="center"/>
      <protection locked="0"/>
    </xf>
    <xf numFmtId="180" fontId="0" fillId="0" borderId="0" xfId="0" applyNumberFormat="1" applyAlignment="1">
      <alignment horizontal="left"/>
    </xf>
    <xf numFmtId="179" fontId="0" fillId="0" borderId="0" xfId="0" applyNumberFormat="1"/>
    <xf numFmtId="0" fontId="6" fillId="0" borderId="0" xfId="0" applyFont="1" applyBorder="1" applyAlignment="1">
      <alignment horizontal="center" vertical="center"/>
    </xf>
    <xf numFmtId="14" fontId="11" fillId="0" borderId="0" xfId="0" applyNumberFormat="1" applyFont="1"/>
    <xf numFmtId="0" fontId="7" fillId="2" borderId="0" xfId="2" applyNumberFormat="1" applyFont="1" applyFill="1" applyAlignment="1" applyProtection="1">
      <alignment vertical="center"/>
    </xf>
    <xf numFmtId="0" fontId="16" fillId="0" borderId="0" xfId="0" applyFont="1" applyBorder="1"/>
    <xf numFmtId="0" fontId="16" fillId="0" borderId="0" xfId="0" applyFont="1"/>
    <xf numFmtId="43" fontId="14" fillId="0" borderId="1" xfId="2" applyFont="1" applyBorder="1" applyAlignment="1">
      <alignment horizontal="center" vertical="center" wrapText="1"/>
    </xf>
    <xf numFmtId="0" fontId="6" fillId="0" borderId="0" xfId="0" applyFont="1" applyBorder="1" applyAlignment="1" applyProtection="1">
      <alignment vertical="center"/>
    </xf>
    <xf numFmtId="0" fontId="5" fillId="0" borderId="0" xfId="1" applyNumberFormat="1" applyFont="1" applyAlignment="1">
      <alignment horizontal="center" vertical="center"/>
    </xf>
    <xf numFmtId="0" fontId="17" fillId="6" borderId="5" xfId="1" applyNumberFormat="1" applyFont="1" applyFill="1" applyBorder="1" applyAlignment="1">
      <alignment horizontal="center" vertical="center"/>
    </xf>
    <xf numFmtId="0" fontId="17" fillId="0" borderId="7" xfId="1" applyNumberFormat="1" applyFont="1" applyBorder="1" applyAlignment="1">
      <alignment horizontal="center" vertical="center"/>
    </xf>
    <xf numFmtId="0" fontId="17" fillId="9" borderId="5" xfId="1" applyNumberFormat="1" applyFont="1" applyFill="1" applyBorder="1" applyAlignment="1">
      <alignment horizontal="center" vertical="center"/>
    </xf>
    <xf numFmtId="0" fontId="17" fillId="12" borderId="7" xfId="1" applyNumberFormat="1" applyFont="1" applyFill="1" applyBorder="1" applyAlignment="1">
      <alignment horizontal="center" vertical="center"/>
    </xf>
    <xf numFmtId="0" fontId="17" fillId="15" borderId="5" xfId="1" applyNumberFormat="1" applyFont="1" applyFill="1" applyBorder="1" applyAlignment="1">
      <alignment horizontal="center" vertical="center"/>
    </xf>
    <xf numFmtId="0" fontId="17" fillId="0" borderId="0" xfId="1" applyNumberFormat="1" applyFont="1" applyAlignment="1">
      <alignment horizontal="center" vertical="center"/>
    </xf>
    <xf numFmtId="0" fontId="18" fillId="5" borderId="6" xfId="1" applyNumberFormat="1" applyFont="1" applyFill="1" applyBorder="1" applyAlignment="1">
      <alignment horizontal="center" vertical="center"/>
    </xf>
    <xf numFmtId="0" fontId="18" fillId="8" borderId="3" xfId="1" applyNumberFormat="1" applyFont="1" applyFill="1" applyBorder="1" applyAlignment="1">
      <alignment horizontal="center" vertical="center"/>
    </xf>
    <xf numFmtId="0" fontId="18" fillId="10" borderId="6" xfId="1" applyNumberFormat="1" applyFont="1" applyFill="1" applyBorder="1" applyAlignment="1">
      <alignment horizontal="center" vertical="center"/>
    </xf>
    <xf numFmtId="0" fontId="18" fillId="13" borderId="3" xfId="1" applyNumberFormat="1" applyFont="1" applyFill="1" applyBorder="1" applyAlignment="1">
      <alignment horizontal="center" vertical="center"/>
    </xf>
    <xf numFmtId="0" fontId="18" fillId="16" borderId="6" xfId="1" applyNumberFormat="1" applyFont="1" applyFill="1" applyBorder="1" applyAlignment="1">
      <alignment horizontal="center" vertical="center"/>
    </xf>
    <xf numFmtId="0" fontId="18" fillId="5" borderId="4" xfId="1" applyNumberFormat="1" applyFont="1" applyFill="1" applyBorder="1" applyAlignment="1">
      <alignment horizontal="center" vertical="center"/>
    </xf>
    <xf numFmtId="0" fontId="18" fillId="11" borderId="2" xfId="1" applyNumberFormat="1" applyFont="1" applyFill="1" applyBorder="1" applyAlignment="1">
      <alignment horizontal="center" vertical="center"/>
    </xf>
    <xf numFmtId="0" fontId="18" fillId="14" borderId="4" xfId="1" applyNumberFormat="1" applyFont="1" applyFill="1" applyBorder="1" applyAlignment="1">
      <alignment horizontal="center" vertical="center"/>
    </xf>
    <xf numFmtId="0" fontId="18" fillId="17" borderId="2" xfId="1" applyNumberFormat="1" applyFont="1" applyFill="1" applyBorder="1" applyAlignment="1">
      <alignment horizontal="center" vertical="center"/>
    </xf>
    <xf numFmtId="0" fontId="17" fillId="18" borderId="8" xfId="1" applyNumberFormat="1" applyFont="1" applyFill="1" applyBorder="1" applyAlignment="1">
      <alignment horizontal="center" vertical="center"/>
    </xf>
    <xf numFmtId="0" fontId="17" fillId="19" borderId="6" xfId="1" applyNumberFormat="1" applyFont="1" applyFill="1" applyBorder="1" applyAlignment="1">
      <alignment horizontal="center" vertical="center"/>
    </xf>
    <xf numFmtId="0" fontId="17" fillId="20" borderId="2" xfId="1" applyNumberFormat="1" applyFont="1" applyFill="1" applyBorder="1" applyAlignment="1">
      <alignment horizontal="center" vertical="center"/>
    </xf>
    <xf numFmtId="0" fontId="18" fillId="7" borderId="6" xfId="1" applyNumberFormat="1" applyFont="1" applyFill="1" applyBorder="1" applyAlignment="1">
      <alignment horizontal="center" vertical="center"/>
    </xf>
    <xf numFmtId="0" fontId="7" fillId="0" borderId="0" xfId="0" applyFont="1" applyFill="1" applyAlignment="1" applyProtection="1">
      <alignment horizontal="right" vertical="center"/>
      <protection locked="0"/>
    </xf>
    <xf numFmtId="0" fontId="15" fillId="0" borderId="9" xfId="0" applyFont="1" applyFill="1" applyBorder="1" applyAlignment="1" applyProtection="1">
      <alignment horizontal="center" vertical="center"/>
      <protection locked="0"/>
    </xf>
    <xf numFmtId="0" fontId="9" fillId="0" borderId="9" xfId="1" applyNumberFormat="1" applyFont="1" applyFill="1" applyBorder="1" applyAlignment="1" applyProtection="1">
      <alignment horizontal="center" vertical="center"/>
      <protection locked="0"/>
    </xf>
    <xf numFmtId="166" fontId="9" fillId="0" borderId="9" xfId="1" applyNumberFormat="1" applyFont="1" applyFill="1" applyBorder="1" applyAlignment="1" applyProtection="1">
      <alignment horizontal="center" vertical="center"/>
      <protection locked="0"/>
    </xf>
    <xf numFmtId="14" fontId="9" fillId="0" borderId="9" xfId="1" applyNumberFormat="1" applyFont="1" applyFill="1" applyBorder="1" applyAlignment="1" applyProtection="1">
      <alignment horizontal="center" vertical="center"/>
      <protection locked="0"/>
    </xf>
    <xf numFmtId="174" fontId="9" fillId="0" borderId="9" xfId="1" applyNumberFormat="1" applyFont="1" applyFill="1" applyBorder="1" applyAlignment="1" applyProtection="1">
      <alignment horizontal="center" vertical="center"/>
      <protection locked="0"/>
    </xf>
    <xf numFmtId="175" fontId="9" fillId="0" borderId="9" xfId="1" applyNumberFormat="1" applyFont="1" applyFill="1" applyBorder="1" applyAlignment="1" applyProtection="1">
      <alignment horizontal="center" vertical="center"/>
      <protection locked="0"/>
    </xf>
    <xf numFmtId="167" fontId="9" fillId="0" borderId="9" xfId="1" applyNumberFormat="1" applyFont="1" applyFill="1" applyBorder="1" applyAlignment="1" applyProtection="1">
      <alignment horizontal="center" vertical="center"/>
      <protection locked="0"/>
    </xf>
    <xf numFmtId="166" fontId="9" fillId="0" borderId="9" xfId="0" applyNumberFormat="1" applyFont="1" applyFill="1" applyBorder="1" applyAlignment="1" applyProtection="1">
      <alignment horizontal="center" vertical="center"/>
      <protection locked="0"/>
    </xf>
    <xf numFmtId="14" fontId="9" fillId="0" borderId="9" xfId="0" applyNumberFormat="1" applyFont="1" applyFill="1" applyBorder="1" applyAlignment="1" applyProtection="1">
      <alignment horizontal="center" vertical="center"/>
      <protection locked="0"/>
    </xf>
    <xf numFmtId="43" fontId="9" fillId="0" borderId="9" xfId="2" applyFont="1" applyFill="1" applyBorder="1" applyAlignment="1" applyProtection="1">
      <alignment horizontal="center" vertical="center"/>
      <protection locked="0"/>
    </xf>
    <xf numFmtId="10" fontId="9" fillId="0" borderId="9" xfId="1" applyNumberFormat="1" applyFont="1" applyFill="1" applyBorder="1" applyAlignment="1" applyProtection="1">
      <alignment horizontal="center" vertical="center"/>
      <protection locked="0"/>
    </xf>
    <xf numFmtId="167" fontId="9" fillId="0" borderId="9" xfId="0" applyNumberFormat="1" applyFont="1" applyFill="1" applyBorder="1" applyAlignment="1" applyProtection="1">
      <alignment horizontal="center" vertical="center"/>
      <protection locked="0"/>
    </xf>
    <xf numFmtId="0" fontId="9" fillId="0" borderId="9" xfId="0" applyNumberFormat="1" applyFont="1" applyFill="1" applyBorder="1" applyAlignment="1" applyProtection="1">
      <alignment horizontal="center" vertical="center"/>
      <protection locked="0"/>
    </xf>
    <xf numFmtId="0" fontId="9" fillId="0" borderId="9" xfId="0" applyFont="1" applyFill="1" applyBorder="1" applyAlignment="1" applyProtection="1">
      <alignment horizontal="center" vertical="center"/>
      <protection locked="0"/>
    </xf>
    <xf numFmtId="178" fontId="9" fillId="0" borderId="9" xfId="0" applyNumberFormat="1" applyFont="1" applyFill="1" applyBorder="1" applyAlignment="1" applyProtection="1">
      <alignment horizontal="center" vertical="center"/>
      <protection locked="0"/>
    </xf>
    <xf numFmtId="168" fontId="9" fillId="0" borderId="9" xfId="0" applyNumberFormat="1" applyFont="1" applyFill="1" applyBorder="1" applyAlignment="1" applyProtection="1">
      <alignment horizontal="center" vertical="center"/>
      <protection locked="0"/>
    </xf>
    <xf numFmtId="0" fontId="1" fillId="2" borderId="0" xfId="0" applyFont="1" applyFill="1"/>
    <xf numFmtId="165" fontId="7" fillId="0" borderId="0" xfId="0" applyNumberFormat="1" applyFont="1" applyFill="1" applyAlignment="1" applyProtection="1">
      <alignment horizontal="center" vertical="center"/>
      <protection locked="0"/>
    </xf>
    <xf numFmtId="181" fontId="5" fillId="0" borderId="0" xfId="0" applyNumberFormat="1" applyFont="1" applyAlignment="1">
      <alignment horizontal="center" vertical="center"/>
    </xf>
    <xf numFmtId="0" fontId="7" fillId="0" borderId="0" xfId="0" applyFont="1" applyFill="1" applyBorder="1" applyAlignment="1" applyProtection="1">
      <alignment horizontal="left" vertical="center"/>
      <protection locked="0"/>
    </xf>
    <xf numFmtId="0" fontId="7" fillId="0" borderId="0" xfId="0" applyFont="1" applyAlignment="1" applyProtection="1">
      <alignment horizontal="right" vertical="center"/>
      <protection locked="0"/>
    </xf>
    <xf numFmtId="166" fontId="7" fillId="0" borderId="0" xfId="0" applyNumberFormat="1" applyFont="1" applyAlignment="1" applyProtection="1">
      <alignment horizontal="right" vertical="center"/>
      <protection locked="0"/>
    </xf>
    <xf numFmtId="22" fontId="7" fillId="0" borderId="0" xfId="0" applyNumberFormat="1" applyFont="1" applyAlignment="1" applyProtection="1">
      <alignment horizontal="right" vertical="center"/>
      <protection locked="0"/>
    </xf>
    <xf numFmtId="2" fontId="0" fillId="0" borderId="0" xfId="0" applyNumberFormat="1" applyAlignment="1">
      <alignment horizontal="center" vertical="center"/>
    </xf>
    <xf numFmtId="0" fontId="0" fillId="0" borderId="0" xfId="0" applyAlignment="1">
      <alignment horizontal="center" vertical="center"/>
    </xf>
    <xf numFmtId="10" fontId="0" fillId="0" borderId="0" xfId="1" applyNumberFormat="1" applyFont="1" applyAlignment="1">
      <alignment horizontal="center" vertical="center"/>
    </xf>
    <xf numFmtId="2" fontId="0" fillId="0" borderId="0" xfId="0" applyNumberFormat="1" applyAlignment="1">
      <alignment horizontal="center"/>
    </xf>
    <xf numFmtId="0" fontId="6" fillId="0" borderId="18" xfId="0" applyFont="1" applyBorder="1" applyAlignment="1">
      <alignment horizontal="center" vertical="center"/>
    </xf>
    <xf numFmtId="0" fontId="6" fillId="0" borderId="19" xfId="0" applyFont="1" applyBorder="1" applyAlignment="1">
      <alignment horizontal="center" vertical="center"/>
    </xf>
    <xf numFmtId="0" fontId="6" fillId="0" borderId="20" xfId="0" applyFont="1" applyBorder="1" applyAlignment="1">
      <alignment horizontal="center" vertical="center"/>
    </xf>
    <xf numFmtId="0" fontId="11" fillId="0" borderId="10" xfId="0" applyFont="1" applyBorder="1" applyAlignment="1" applyProtection="1">
      <alignment horizontal="left" vertical="top"/>
      <protection locked="0"/>
    </xf>
    <xf numFmtId="0" fontId="11" fillId="0" borderId="11" xfId="0" applyFont="1" applyBorder="1" applyAlignment="1" applyProtection="1">
      <alignment horizontal="left" vertical="top"/>
      <protection locked="0"/>
    </xf>
    <xf numFmtId="0" fontId="11" fillId="0" borderId="12" xfId="0" applyFont="1" applyBorder="1" applyAlignment="1" applyProtection="1">
      <alignment horizontal="left" vertical="top"/>
      <protection locked="0"/>
    </xf>
    <xf numFmtId="0" fontId="11" fillId="0" borderId="13" xfId="0" applyFont="1" applyBorder="1" applyAlignment="1" applyProtection="1">
      <alignment horizontal="left" vertical="top"/>
      <protection locked="0"/>
    </xf>
    <xf numFmtId="0" fontId="11" fillId="0" borderId="0" xfId="0" applyFont="1" applyBorder="1" applyAlignment="1" applyProtection="1">
      <alignment horizontal="left" vertical="top"/>
      <protection locked="0"/>
    </xf>
    <xf numFmtId="0" fontId="11" fillId="0" borderId="14" xfId="0" applyFont="1" applyBorder="1" applyAlignment="1" applyProtection="1">
      <alignment horizontal="left" vertical="top"/>
      <protection locked="0"/>
    </xf>
    <xf numFmtId="0" fontId="11" fillId="0" borderId="15" xfId="0" applyFont="1" applyBorder="1" applyAlignment="1" applyProtection="1">
      <alignment horizontal="left" vertical="top"/>
      <protection locked="0"/>
    </xf>
    <xf numFmtId="0" fontId="11" fillId="0" borderId="16" xfId="0" applyFont="1" applyBorder="1" applyAlignment="1" applyProtection="1">
      <alignment horizontal="left" vertical="top"/>
      <protection locked="0"/>
    </xf>
    <xf numFmtId="0" fontId="11" fillId="0" borderId="17" xfId="0" applyFont="1" applyBorder="1" applyAlignment="1" applyProtection="1">
      <alignment horizontal="left" vertical="top"/>
      <protection locked="0"/>
    </xf>
  </cellXfs>
  <cellStyles count="3">
    <cellStyle name="Milliers" xfId="2" builtinId="3"/>
    <cellStyle name="Normal" xfId="0" builtinId="0"/>
    <cellStyle name="Pourcentage" xfId="1" builtinId="5"/>
  </cellStyles>
  <dxfs count="160">
    <dxf>
      <numFmt numFmtId="19" formatCode="dd/mm/yyyy"/>
    </dxf>
    <dxf>
      <font>
        <b val="0"/>
        <i val="0"/>
        <strike val="0"/>
        <condense val="0"/>
        <extend val="0"/>
        <outline val="0"/>
        <shadow val="0"/>
        <u val="none"/>
        <vertAlign val="baseline"/>
        <sz val="16"/>
        <color theme="1" tint="0.34998626667073579"/>
        <name val="Cambria"/>
        <family val="1"/>
        <scheme val="major"/>
      </font>
      <numFmt numFmtId="0" formatCode="General"/>
      <fill>
        <patternFill patternType="solid">
          <fgColor indexed="64"/>
          <bgColor theme="5" tint="0.39997558519241921"/>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6"/>
        <color theme="1" tint="0.34998626667073579"/>
        <name val="Cambria"/>
        <family val="1"/>
        <scheme val="major"/>
      </font>
      <numFmt numFmtId="0" formatCode="General"/>
      <alignment horizontal="center" vertical="center" textRotation="0" wrapText="0" indent="0" justifyLastLine="0" shrinkToFit="0" readingOrder="0"/>
    </dxf>
    <dxf>
      <font>
        <b val="0"/>
        <i val="0"/>
        <strike val="0"/>
        <condense val="0"/>
        <extend val="0"/>
        <outline val="0"/>
        <shadow val="0"/>
        <u val="none"/>
        <vertAlign val="baseline"/>
        <sz val="16"/>
        <color theme="1" tint="0.34998626667073579"/>
        <name val="Cambria"/>
        <family val="1"/>
        <scheme val="major"/>
      </font>
      <numFmt numFmtId="0" formatCode="General"/>
      <fill>
        <patternFill patternType="solid">
          <fgColor indexed="64"/>
          <bgColor theme="0" tint="-0.249977111117893"/>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6"/>
        <color theme="1" tint="0.34998626667073579"/>
        <name val="Cambria"/>
        <family val="1"/>
        <scheme val="major"/>
      </font>
      <numFmt numFmtId="0" formatCode="General"/>
      <fill>
        <patternFill patternType="solid">
          <fgColor indexed="64"/>
          <bgColor theme="6" tint="0.59999389629810485"/>
        </patternFill>
      </fill>
      <alignment horizontal="center" vertical="center" textRotation="0" wrapText="0" indent="0" justifyLastLine="0" shrinkToFit="0" readingOrder="0"/>
      <border diagonalUp="0" diagonalDown="0">
        <left/>
        <right/>
        <top style="thin">
          <color theme="0"/>
        </top>
        <bottom style="thin">
          <color theme="0"/>
        </bottom>
        <vertical/>
        <horizontal/>
      </border>
    </dxf>
    <dxf>
      <font>
        <b val="0"/>
        <i val="0"/>
        <strike val="0"/>
        <condense val="0"/>
        <extend val="0"/>
        <outline val="0"/>
        <shadow val="0"/>
        <u val="none"/>
        <vertAlign val="baseline"/>
        <sz val="16"/>
        <color theme="1" tint="0.34998626667073579"/>
        <name val="Cambria"/>
        <family val="1"/>
        <scheme val="major"/>
      </font>
      <numFmt numFmtId="0" formatCode="Genera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border>
    </dxf>
    <dxf>
      <font>
        <b val="0"/>
        <i val="0"/>
        <strike val="0"/>
        <condense val="0"/>
        <extend val="0"/>
        <outline val="0"/>
        <shadow val="0"/>
        <u val="none"/>
        <vertAlign val="baseline"/>
        <sz val="16"/>
        <color theme="0"/>
        <name val="Cambria"/>
        <family val="1"/>
        <scheme val="major"/>
      </font>
      <numFmt numFmtId="0" formatCode="Genera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dxf>
    <dxf>
      <font>
        <b val="0"/>
        <i val="0"/>
        <strike val="0"/>
        <condense val="0"/>
        <extend val="0"/>
        <outline val="0"/>
        <shadow val="0"/>
        <u val="none"/>
        <vertAlign val="baseline"/>
        <sz val="16"/>
        <color theme="1" tint="0.34998626667073579"/>
        <name val="Cambria"/>
        <family val="1"/>
        <scheme val="major"/>
      </font>
      <numFmt numFmtId="0" formatCode="General"/>
      <alignment horizontal="center" vertical="center" textRotation="0" wrapText="0" indent="0" justifyLastLine="0" shrinkToFit="0" readingOrder="0"/>
    </dxf>
    <dxf>
      <border>
        <bottom style="double">
          <color theme="0"/>
        </bottom>
      </border>
    </dxf>
    <dxf>
      <font>
        <b val="0"/>
        <i val="0"/>
        <strike val="0"/>
        <condense val="0"/>
        <extend val="0"/>
        <outline val="0"/>
        <shadow val="0"/>
        <u val="none"/>
        <vertAlign val="baseline"/>
        <sz val="16"/>
        <color theme="0"/>
        <name val="Cambria"/>
        <family val="1"/>
        <scheme val="major"/>
      </font>
      <numFmt numFmtId="0" formatCode="General"/>
      <alignment horizontal="center" vertical="center" textRotation="0" wrapText="0" indent="0" justifyLastLine="0" shrinkToFit="0" readingOrder="0"/>
      <border diagonalUp="0" diagonalDown="0" outline="0">
        <left/>
        <right/>
        <top/>
        <bottom/>
      </border>
    </dxf>
    <dxf>
      <font>
        <strike val="0"/>
        <color theme="0"/>
      </font>
    </dxf>
    <dxf>
      <font>
        <b val="0"/>
        <i val="0"/>
        <strike val="0"/>
        <condense val="0"/>
        <extend val="0"/>
        <outline val="0"/>
        <shadow val="0"/>
        <u val="none"/>
        <vertAlign val="baseline"/>
        <sz val="9"/>
        <color rgb="FF000000"/>
        <name val="Cambria"/>
        <family val="1"/>
        <scheme val="major"/>
      </font>
      <fill>
        <patternFill patternType="none">
          <fgColor indexed="64"/>
          <bgColor auto="1"/>
        </patternFill>
      </fill>
      <alignment horizontal="right" vertical="center" textRotation="0" wrapText="0" indent="0" justifyLastLine="0" shrinkToFit="0" readingOrder="0"/>
      <protection locked="0" hidden="0"/>
    </dxf>
    <dxf>
      <font>
        <b val="0"/>
        <i val="0"/>
        <strike val="0"/>
        <condense val="0"/>
        <extend val="0"/>
        <outline val="0"/>
        <shadow val="0"/>
        <u val="none"/>
        <vertAlign val="baseline"/>
        <sz val="9"/>
        <color rgb="FF000000"/>
        <name val="Cambria"/>
        <family val="1"/>
        <scheme val="major"/>
      </font>
      <fill>
        <patternFill patternType="none">
          <fgColor indexed="64"/>
          <bgColor indexed="65"/>
        </patternFill>
      </fill>
      <alignment horizontal="right" vertical="center" textRotation="0" wrapText="0" indent="0" justifyLastLine="0" shrinkToFit="0" readingOrder="0"/>
      <border diagonalUp="0" diagonalDown="0" outline="0">
        <left/>
        <right/>
        <top/>
        <bottom/>
      </border>
      <protection locked="0" hidden="0"/>
    </dxf>
    <dxf>
      <font>
        <b val="0"/>
        <i val="0"/>
        <strike val="0"/>
        <condense val="0"/>
        <extend val="0"/>
        <outline val="0"/>
        <shadow val="0"/>
        <u val="none"/>
        <vertAlign val="baseline"/>
        <sz val="9"/>
        <color rgb="FF000000"/>
        <name val="Cambria"/>
        <family val="1"/>
        <scheme val="major"/>
      </font>
      <fill>
        <patternFill patternType="none">
          <fgColor indexed="64"/>
          <bgColor auto="1"/>
        </patternFill>
      </fill>
      <alignment horizontal="left" vertical="center" textRotation="0" wrapText="0" indent="0" justifyLastLine="0" shrinkToFit="0" readingOrder="0"/>
      <protection locked="0" hidden="0"/>
    </dxf>
    <dxf>
      <font>
        <b val="0"/>
        <i val="0"/>
        <strike val="0"/>
        <condense val="0"/>
        <extend val="0"/>
        <outline val="0"/>
        <shadow val="0"/>
        <u val="none"/>
        <vertAlign val="baseline"/>
        <sz val="9"/>
        <color rgb="FF000000"/>
        <name val="Cambria"/>
        <family val="1"/>
        <scheme val="major"/>
      </font>
      <fill>
        <patternFill patternType="none">
          <fgColor indexed="64"/>
          <bgColor indexed="65"/>
        </patternFill>
      </fill>
      <alignment horizontal="right" vertical="center" textRotation="0" wrapText="0" indent="0" justifyLastLine="0" shrinkToFit="0" readingOrder="0"/>
      <border diagonalUp="0" diagonalDown="0" outline="0">
        <left/>
        <right/>
        <top/>
        <bottom/>
      </border>
      <protection locked="0" hidden="0"/>
    </dxf>
    <dxf>
      <font>
        <b val="0"/>
        <i val="0"/>
        <strike val="0"/>
        <condense val="0"/>
        <extend val="0"/>
        <outline val="0"/>
        <shadow val="0"/>
        <u val="none"/>
        <vertAlign val="baseline"/>
        <sz val="9"/>
        <color rgb="FF000000"/>
        <name val="Cambria"/>
        <family val="1"/>
        <scheme val="major"/>
      </font>
      <fill>
        <patternFill patternType="none">
          <fgColor indexed="64"/>
          <bgColor indexed="65"/>
        </patternFill>
      </fill>
      <alignment horizontal="left" vertical="center" textRotation="0" wrapText="0" indent="0" justifyLastLine="0" shrinkToFit="0" readingOrder="0"/>
      <protection locked="0" hidden="0"/>
    </dxf>
    <dxf>
      <font>
        <b val="0"/>
        <i val="0"/>
        <strike val="0"/>
        <condense val="0"/>
        <extend val="0"/>
        <outline val="0"/>
        <shadow val="0"/>
        <u val="none"/>
        <vertAlign val="baseline"/>
        <sz val="9"/>
        <color rgb="FF000000"/>
        <name val="Cambria"/>
        <family val="1"/>
        <scheme val="major"/>
      </font>
      <fill>
        <patternFill patternType="none">
          <fgColor indexed="64"/>
          <bgColor indexed="65"/>
        </patternFill>
      </fill>
      <alignment horizontal="right" vertical="center" textRotation="0" wrapText="0" indent="0" justifyLastLine="0" shrinkToFit="0" readingOrder="0"/>
      <border diagonalUp="0" diagonalDown="0" outline="0">
        <left/>
        <right/>
        <top/>
        <bottom/>
      </border>
      <protection locked="0" hidden="0"/>
    </dxf>
    <dxf>
      <font>
        <b val="0"/>
        <i val="0"/>
        <strike val="0"/>
        <condense val="0"/>
        <extend val="0"/>
        <outline val="0"/>
        <shadow val="0"/>
        <u val="none"/>
        <vertAlign val="baseline"/>
        <sz val="9"/>
        <color rgb="FF000000"/>
        <name val="Cambria"/>
        <family val="1"/>
        <scheme val="major"/>
      </font>
      <fill>
        <patternFill patternType="none">
          <fgColor indexed="64"/>
          <bgColor indexed="65"/>
        </patternFill>
      </fill>
      <alignment horizontal="left" vertical="center" textRotation="0" wrapText="0" indent="0" justifyLastLine="0" shrinkToFit="0" readingOrder="0"/>
      <protection locked="0" hidden="0"/>
    </dxf>
    <dxf>
      <font>
        <b val="0"/>
        <i val="0"/>
        <strike val="0"/>
        <condense val="0"/>
        <extend val="0"/>
        <outline val="0"/>
        <shadow val="0"/>
        <u val="none"/>
        <vertAlign val="baseline"/>
        <sz val="9"/>
        <color rgb="FF000000"/>
        <name val="Cambria"/>
        <family val="1"/>
        <scheme val="major"/>
      </font>
      <fill>
        <patternFill patternType="none">
          <fgColor indexed="64"/>
          <bgColor indexed="65"/>
        </patternFill>
      </fill>
      <alignment horizontal="right" vertical="center" textRotation="0" wrapText="0" indent="0" justifyLastLine="0" shrinkToFit="0" readingOrder="0"/>
      <border diagonalUp="0" diagonalDown="0" outline="0">
        <left/>
        <right/>
        <top/>
        <bottom/>
      </border>
      <protection locked="0" hidden="0"/>
    </dxf>
    <dxf>
      <font>
        <b val="0"/>
        <i val="0"/>
        <strike val="0"/>
        <condense val="0"/>
        <extend val="0"/>
        <outline val="0"/>
        <shadow val="0"/>
        <u val="none"/>
        <vertAlign val="baseline"/>
        <sz val="9"/>
        <color rgb="FF000000"/>
        <name val="Cambria"/>
        <family val="1"/>
        <scheme val="major"/>
      </font>
      <fill>
        <patternFill patternType="none">
          <fgColor indexed="64"/>
          <bgColor auto="1"/>
        </patternFill>
      </fill>
      <alignment horizontal="left" vertical="center" textRotation="0" wrapText="0" indent="0" justifyLastLine="0" shrinkToFit="0" readingOrder="0"/>
      <protection locked="0" hidden="0"/>
    </dxf>
    <dxf>
      <font>
        <b val="0"/>
        <i val="0"/>
        <strike val="0"/>
        <condense val="0"/>
        <extend val="0"/>
        <outline val="0"/>
        <shadow val="0"/>
        <u val="none"/>
        <vertAlign val="baseline"/>
        <sz val="9"/>
        <color rgb="FF000000"/>
        <name val="Cambria"/>
        <family val="1"/>
        <scheme val="major"/>
      </font>
      <numFmt numFmtId="0" formatCode="General"/>
      <fill>
        <patternFill patternType="none">
          <fgColor indexed="64"/>
          <bgColor indexed="65"/>
        </patternFill>
      </fill>
      <alignment horizontal="center" vertical="center" textRotation="0" wrapText="0" indent="0" justifyLastLine="0" shrinkToFit="0" readingOrder="0"/>
      <protection locked="0" hidden="0"/>
    </dxf>
    <dxf>
      <font>
        <b val="0"/>
        <i val="0"/>
        <strike val="0"/>
        <condense val="0"/>
        <extend val="0"/>
        <outline val="0"/>
        <shadow val="0"/>
        <u val="none"/>
        <vertAlign val="baseline"/>
        <sz val="9"/>
        <color rgb="FF000000"/>
        <name val="Cambria"/>
        <family val="1"/>
        <scheme val="major"/>
      </font>
      <numFmt numFmtId="165" formatCode="#\ ##0.00;\-#\ ##0.00;0.00;"/>
      <fill>
        <patternFill patternType="none">
          <fgColor indexed="64"/>
          <bgColor indexed="65"/>
        </patternFill>
      </fill>
      <alignment horizontal="center" vertical="center" textRotation="0" wrapText="0" indent="0" justifyLastLine="0" shrinkToFit="0" readingOrder="0"/>
      <protection locked="0" hidden="0"/>
    </dxf>
    <dxf>
      <font>
        <b val="0"/>
        <i val="0"/>
        <strike val="0"/>
        <condense val="0"/>
        <extend val="0"/>
        <outline val="0"/>
        <shadow val="0"/>
        <u val="none"/>
        <vertAlign val="baseline"/>
        <sz val="9"/>
        <color rgb="FF000000"/>
        <name val="Cambria"/>
        <family val="1"/>
        <scheme val="major"/>
      </font>
      <numFmt numFmtId="0" formatCode="General"/>
      <fill>
        <patternFill patternType="none">
          <fgColor indexed="64"/>
          <bgColor indexed="65"/>
        </patternFill>
      </fill>
      <alignment horizontal="center" vertical="center" textRotation="0" wrapText="0" indent="0" justifyLastLine="0" shrinkToFit="0" readingOrder="0"/>
      <protection locked="0" hidden="0"/>
    </dxf>
    <dxf>
      <font>
        <b val="0"/>
        <i val="0"/>
        <strike val="0"/>
        <condense val="0"/>
        <extend val="0"/>
        <outline val="0"/>
        <shadow val="0"/>
        <u val="none"/>
        <vertAlign val="baseline"/>
        <sz val="9"/>
        <color rgb="FF000000"/>
        <name val="Cambria"/>
        <family val="1"/>
        <scheme val="major"/>
      </font>
      <numFmt numFmtId="0" formatCode="General"/>
      <fill>
        <patternFill patternType="none">
          <fgColor indexed="64"/>
          <bgColor indexed="65"/>
        </patternFill>
      </fill>
      <alignment horizontal="center" vertical="center" textRotation="0" wrapText="0" indent="0" justifyLastLine="0" shrinkToFit="0" readingOrder="0"/>
      <protection locked="0" hidden="0"/>
    </dxf>
    <dxf>
      <font>
        <b val="0"/>
        <i val="0"/>
        <strike val="0"/>
        <condense val="0"/>
        <extend val="0"/>
        <outline val="0"/>
        <shadow val="0"/>
        <u val="none"/>
        <vertAlign val="baseline"/>
        <sz val="9"/>
        <color rgb="FF000000"/>
        <name val="Cambria"/>
        <family val="1"/>
        <scheme val="major"/>
      </font>
      <numFmt numFmtId="0" formatCode="General"/>
      <fill>
        <patternFill patternType="none">
          <fgColor indexed="64"/>
          <bgColor indexed="65"/>
        </patternFill>
      </fill>
      <alignment horizontal="center" vertical="center" textRotation="0" wrapText="0" indent="0" justifyLastLine="0" shrinkToFit="0" readingOrder="0"/>
      <protection locked="0" hidden="0"/>
    </dxf>
    <dxf>
      <font>
        <b val="0"/>
        <i val="0"/>
        <strike val="0"/>
        <condense val="0"/>
        <extend val="0"/>
        <outline val="0"/>
        <shadow val="0"/>
        <u val="none"/>
        <vertAlign val="baseline"/>
        <sz val="9"/>
        <color rgb="FF000000"/>
        <name val="Cambria"/>
        <family val="1"/>
        <scheme val="major"/>
      </font>
      <numFmt numFmtId="0" formatCode="General"/>
      <fill>
        <patternFill patternType="none">
          <fgColor indexed="64"/>
          <bgColor indexed="65"/>
        </patternFill>
      </fill>
      <alignment horizontal="center" vertical="center" textRotation="0" wrapText="0" indent="0" justifyLastLine="0" shrinkToFit="0" readingOrder="0"/>
      <protection locked="0" hidden="0"/>
    </dxf>
    <dxf>
      <font>
        <b val="0"/>
        <i val="0"/>
        <strike val="0"/>
        <condense val="0"/>
        <extend val="0"/>
        <outline val="0"/>
        <shadow val="0"/>
        <u val="none"/>
        <vertAlign val="baseline"/>
        <sz val="9"/>
        <color rgb="FF000000"/>
        <name val="Cambria"/>
        <family val="1"/>
        <scheme val="major"/>
      </font>
      <numFmt numFmtId="0" formatCode="General"/>
      <fill>
        <patternFill patternType="none">
          <fgColor indexed="64"/>
          <bgColor indexed="65"/>
        </patternFill>
      </fill>
      <alignment horizontal="center" vertical="center" textRotation="0" wrapText="0" indent="0" justifyLastLine="0" shrinkToFit="0" readingOrder="0"/>
      <protection locked="0" hidden="0"/>
    </dxf>
    <dxf>
      <font>
        <b val="0"/>
        <i val="0"/>
        <strike val="0"/>
        <condense val="0"/>
        <extend val="0"/>
        <outline val="0"/>
        <shadow val="0"/>
        <u val="none"/>
        <vertAlign val="baseline"/>
        <sz val="9"/>
        <color rgb="FF000000"/>
        <name val="Cambria"/>
        <family val="1"/>
        <scheme val="major"/>
      </font>
      <numFmt numFmtId="0" formatCode="General"/>
      <fill>
        <patternFill patternType="none">
          <fgColor indexed="64"/>
          <bgColor indexed="65"/>
        </patternFill>
      </fill>
      <alignment horizontal="center" vertical="center" textRotation="0" wrapText="0" indent="0" justifyLastLine="0" shrinkToFit="0" readingOrder="0"/>
      <protection locked="0" hidden="0"/>
    </dxf>
    <dxf>
      <font>
        <b val="0"/>
        <i val="0"/>
        <strike val="0"/>
        <condense val="0"/>
        <extend val="0"/>
        <outline val="0"/>
        <shadow val="0"/>
        <u val="none"/>
        <vertAlign val="baseline"/>
        <sz val="9"/>
        <color rgb="FF000000"/>
        <name val="Cambria"/>
        <family val="1"/>
        <scheme val="major"/>
      </font>
      <numFmt numFmtId="0" formatCode="General"/>
      <fill>
        <patternFill patternType="none">
          <fgColor indexed="64"/>
          <bgColor indexed="65"/>
        </patternFill>
      </fill>
      <alignment horizontal="center" vertical="center" textRotation="0" wrapText="0" indent="0" justifyLastLine="0" shrinkToFit="0" readingOrder="0"/>
      <protection locked="0" hidden="0"/>
    </dxf>
    <dxf>
      <font>
        <b val="0"/>
        <i val="0"/>
        <strike val="0"/>
        <condense val="0"/>
        <extend val="0"/>
        <outline val="0"/>
        <shadow val="0"/>
        <u val="none"/>
        <vertAlign val="baseline"/>
        <sz val="9"/>
        <color rgb="FF000000"/>
        <name val="Cambria"/>
        <family val="1"/>
        <scheme val="major"/>
      </font>
      <numFmt numFmtId="0" formatCode="General"/>
      <fill>
        <patternFill patternType="none">
          <fgColor indexed="64"/>
          <bgColor indexed="65"/>
        </patternFill>
      </fill>
      <alignment horizontal="center" vertical="center" textRotation="0" wrapText="0" indent="0" justifyLastLine="0" shrinkToFit="0" readingOrder="0"/>
      <protection locked="0" hidden="0"/>
    </dxf>
    <dxf>
      <font>
        <b val="0"/>
        <i val="0"/>
        <strike val="0"/>
        <condense val="0"/>
        <extend val="0"/>
        <outline val="0"/>
        <shadow val="0"/>
        <u val="none"/>
        <vertAlign val="baseline"/>
        <sz val="9"/>
        <color auto="1"/>
        <name val="Cambria"/>
        <family val="1"/>
        <scheme val="major"/>
      </font>
      <numFmt numFmtId="0" formatCode="General"/>
      <fill>
        <patternFill patternType="none">
          <fgColor indexed="64"/>
          <bgColor indexed="65"/>
        </patternFill>
      </fill>
      <alignment horizontal="center" vertical="center" textRotation="0" wrapText="0" indent="0" justifyLastLine="0" shrinkToFit="0" readingOrder="0"/>
      <protection locked="0" hidden="0"/>
    </dxf>
    <dxf>
      <font>
        <b val="0"/>
        <i val="0"/>
        <strike val="0"/>
        <condense val="0"/>
        <extend val="0"/>
        <outline val="0"/>
        <shadow val="0"/>
        <u val="none"/>
        <vertAlign val="baseline"/>
        <sz val="9"/>
        <color auto="1"/>
        <name val="Cambria"/>
        <family val="1"/>
        <scheme val="major"/>
      </font>
      <numFmt numFmtId="0" formatCode="General"/>
      <fill>
        <patternFill patternType="none">
          <fgColor indexed="64"/>
          <bgColor indexed="65"/>
        </patternFill>
      </fill>
      <alignment horizontal="center" vertical="center" textRotation="0" wrapText="0" indent="0" justifyLastLine="0" shrinkToFit="0" readingOrder="0"/>
      <protection locked="0" hidden="0"/>
    </dxf>
    <dxf>
      <font>
        <b val="0"/>
        <i val="0"/>
        <strike val="0"/>
        <condense val="0"/>
        <extend val="0"/>
        <outline val="0"/>
        <shadow val="0"/>
        <u val="none"/>
        <vertAlign val="baseline"/>
        <sz val="9"/>
        <color auto="1"/>
        <name val="Cambria"/>
        <family val="1"/>
        <scheme val="major"/>
      </font>
      <numFmt numFmtId="0" formatCode="General"/>
      <fill>
        <patternFill patternType="none">
          <fgColor indexed="64"/>
          <bgColor auto="1"/>
        </patternFill>
      </fill>
      <alignment horizontal="center" vertical="center" textRotation="0" wrapText="0" indent="0" justifyLastLine="0" shrinkToFit="0" readingOrder="0"/>
      <protection locked="0" hidden="0"/>
    </dxf>
    <dxf>
      <font>
        <b val="0"/>
        <i val="0"/>
        <strike val="0"/>
        <condense val="0"/>
        <extend val="0"/>
        <outline val="0"/>
        <shadow val="0"/>
        <u val="none"/>
        <vertAlign val="baseline"/>
        <sz val="9"/>
        <color rgb="FF000000"/>
        <name val="Cambria"/>
        <family val="1"/>
        <scheme val="major"/>
      </font>
      <numFmt numFmtId="168" formatCode="0.0"/>
      <fill>
        <patternFill patternType="none">
          <fgColor indexed="64"/>
          <bgColor indexed="65"/>
        </patternFill>
      </fill>
      <alignment horizontal="center" vertical="center" textRotation="0" wrapText="0" indent="0" justifyLastLine="0" shrinkToFit="0" readingOrder="0"/>
      <protection locked="0" hidden="0"/>
    </dxf>
    <dxf>
      <font>
        <b val="0"/>
        <i val="0"/>
        <strike val="0"/>
        <condense val="0"/>
        <extend val="0"/>
        <outline val="0"/>
        <shadow val="0"/>
        <u val="none"/>
        <vertAlign val="baseline"/>
        <sz val="9"/>
        <color rgb="FF000000"/>
        <name val="Cambria"/>
        <family val="1"/>
        <scheme val="major"/>
      </font>
      <numFmt numFmtId="178" formatCode="_ * #,##0.0000_ \ [$$-C0C]_ ;_ * \-#,##0.0000\ \ [$$-C0C]_ ;_ * &quot;-&quot;??_ \ [$$-C0C]_ ;_ @_ "/>
      <fill>
        <patternFill patternType="none">
          <fgColor indexed="64"/>
          <bgColor indexed="65"/>
        </patternFill>
      </fill>
      <alignment horizontal="center" vertical="center" textRotation="0" wrapText="0" indent="0" justifyLastLine="0" shrinkToFit="0" readingOrder="0"/>
      <protection locked="0" hidden="0"/>
    </dxf>
    <dxf>
      <font>
        <b val="0"/>
        <i val="0"/>
        <strike val="0"/>
        <condense val="0"/>
        <extend val="0"/>
        <outline val="0"/>
        <shadow val="0"/>
        <u val="none"/>
        <vertAlign val="baseline"/>
        <sz val="9"/>
        <color rgb="FF000000"/>
        <name val="Cambria"/>
        <family val="1"/>
        <scheme val="major"/>
      </font>
      <fill>
        <patternFill patternType="none">
          <fgColor indexed="64"/>
          <bgColor indexed="65"/>
        </patternFill>
      </fill>
      <alignment horizontal="center" vertical="center" textRotation="0" wrapText="0" indent="0" justifyLastLine="0" shrinkToFit="0" readingOrder="0"/>
      <protection locked="0" hidden="0"/>
    </dxf>
    <dxf>
      <font>
        <b val="0"/>
        <i val="0"/>
        <strike val="0"/>
        <condense val="0"/>
        <extend val="0"/>
        <outline val="0"/>
        <shadow val="0"/>
        <u val="none"/>
        <vertAlign val="baseline"/>
        <sz val="9"/>
        <color rgb="FF000000"/>
        <name val="Cambria"/>
        <family val="1"/>
        <scheme val="major"/>
      </font>
      <numFmt numFmtId="0" formatCode="General"/>
      <fill>
        <patternFill patternType="none">
          <fgColor indexed="64"/>
          <bgColor auto="1"/>
        </patternFill>
      </fill>
      <alignment horizontal="center" vertical="center" textRotation="0" wrapText="0" indent="0" justifyLastLine="0" shrinkToFit="0" readingOrder="0"/>
      <protection locked="0" hidden="0"/>
    </dxf>
    <dxf>
      <font>
        <b val="0"/>
        <i val="0"/>
        <strike val="0"/>
        <condense val="0"/>
        <extend val="0"/>
        <outline val="0"/>
        <shadow val="0"/>
        <u val="none"/>
        <vertAlign val="baseline"/>
        <sz val="9"/>
        <color rgb="FF000000"/>
        <name val="Cambria"/>
        <family val="1"/>
        <scheme val="major"/>
      </font>
      <numFmt numFmtId="0" formatCode="General"/>
      <fill>
        <patternFill patternType="none">
          <fgColor indexed="64"/>
          <bgColor auto="1"/>
        </patternFill>
      </fill>
      <alignment horizontal="center" vertical="center" textRotation="0" wrapText="0" indent="0" justifyLastLine="0" shrinkToFit="0" readingOrder="0"/>
      <protection locked="0" hidden="0"/>
    </dxf>
    <dxf>
      <font>
        <b val="0"/>
        <i val="0"/>
        <strike val="0"/>
        <condense val="0"/>
        <extend val="0"/>
        <outline val="0"/>
        <shadow val="0"/>
        <u val="none"/>
        <vertAlign val="baseline"/>
        <sz val="9"/>
        <color rgb="FF000000"/>
        <name val="Cambria"/>
        <family val="1"/>
        <scheme val="major"/>
      </font>
      <numFmt numFmtId="0" formatCode="General"/>
      <fill>
        <patternFill patternType="none">
          <fgColor indexed="64"/>
          <bgColor indexed="65"/>
        </patternFill>
      </fill>
      <alignment horizontal="center" vertical="center" textRotation="0" wrapText="0" indent="0" justifyLastLine="0" shrinkToFit="0" readingOrder="0"/>
      <protection locked="0" hidden="0"/>
    </dxf>
    <dxf>
      <font>
        <b val="0"/>
        <i val="0"/>
        <strike val="0"/>
        <condense val="0"/>
        <extend val="0"/>
        <outline val="0"/>
        <shadow val="0"/>
        <u val="none"/>
        <vertAlign val="baseline"/>
        <sz val="9"/>
        <color rgb="FF000000"/>
        <name val="Cambria"/>
        <family val="1"/>
        <scheme val="major"/>
      </font>
      <fill>
        <patternFill patternType="none">
          <fgColor indexed="64"/>
          <bgColor indexed="65"/>
        </patternFill>
      </fill>
      <alignment horizontal="center" vertical="center" textRotation="0" wrapText="0" indent="0" justifyLastLine="0" shrinkToFit="0" readingOrder="0"/>
      <protection locked="0" hidden="0"/>
    </dxf>
    <dxf>
      <font>
        <b val="0"/>
        <i val="0"/>
        <strike val="0"/>
        <condense val="0"/>
        <extend val="0"/>
        <outline val="0"/>
        <shadow val="0"/>
        <u val="none"/>
        <vertAlign val="baseline"/>
        <sz val="9"/>
        <color rgb="FF000000"/>
        <name val="Cambria"/>
        <family val="1"/>
        <scheme val="major"/>
      </font>
      <fill>
        <patternFill patternType="none">
          <fgColor indexed="64"/>
          <bgColor auto="1"/>
        </patternFill>
      </fill>
      <alignment horizontal="center" vertical="center" textRotation="0" wrapText="0" indent="0" justifyLastLine="0" shrinkToFit="0" readingOrder="0"/>
      <protection locked="0" hidden="0"/>
    </dxf>
    <dxf>
      <font>
        <b val="0"/>
        <i val="0"/>
        <strike val="0"/>
        <condense val="0"/>
        <extend val="0"/>
        <outline val="0"/>
        <shadow val="0"/>
        <u val="none"/>
        <vertAlign val="baseline"/>
        <sz val="9"/>
        <color rgb="FF000000"/>
        <name val="Cambria"/>
        <family val="1"/>
        <scheme val="major"/>
      </font>
      <fill>
        <patternFill patternType="none">
          <fgColor indexed="64"/>
          <bgColor indexed="65"/>
        </patternFill>
      </fill>
      <alignment horizontal="center" vertical="center" textRotation="0" wrapText="0" indent="0" justifyLastLine="0" shrinkToFit="0" readingOrder="0"/>
      <protection locked="0" hidden="0"/>
    </dxf>
    <dxf>
      <font>
        <b val="0"/>
        <i val="0"/>
        <strike val="0"/>
        <condense val="0"/>
        <extend val="0"/>
        <outline val="0"/>
        <shadow val="0"/>
        <u val="none"/>
        <vertAlign val="baseline"/>
        <sz val="9"/>
        <color rgb="FF000000"/>
        <name val="Cambria"/>
        <family val="1"/>
        <scheme val="major"/>
      </font>
      <fill>
        <patternFill patternType="none">
          <fgColor indexed="64"/>
          <bgColor auto="1"/>
        </patternFill>
      </fill>
      <alignment horizontal="center" vertical="center" textRotation="0" wrapText="0" indent="0" justifyLastLine="0" shrinkToFit="0" readingOrder="0"/>
      <protection locked="0" hidden="0"/>
    </dxf>
    <dxf>
      <font>
        <b val="0"/>
        <i val="0"/>
        <strike val="0"/>
        <condense val="0"/>
        <extend val="0"/>
        <outline val="0"/>
        <shadow val="0"/>
        <u val="none"/>
        <vertAlign val="baseline"/>
        <sz val="9"/>
        <color rgb="FF000000"/>
        <name val="Cambria"/>
        <family val="1"/>
        <scheme val="major"/>
      </font>
      <fill>
        <patternFill patternType="none">
          <fgColor indexed="64"/>
          <bgColor indexed="65"/>
        </patternFill>
      </fill>
      <alignment horizontal="center" vertical="center" textRotation="0" wrapText="0" indent="0" justifyLastLine="0" shrinkToFit="0" readingOrder="0"/>
      <protection locked="0" hidden="0"/>
    </dxf>
    <dxf>
      <font>
        <b val="0"/>
        <i val="0"/>
        <strike val="0"/>
        <condense val="0"/>
        <extend val="0"/>
        <outline val="0"/>
        <shadow val="0"/>
        <u val="none"/>
        <vertAlign val="baseline"/>
        <sz val="9"/>
        <color rgb="FF000000"/>
        <name val="Cambria"/>
        <family val="1"/>
        <scheme val="major"/>
      </font>
      <fill>
        <patternFill patternType="none">
          <fgColor indexed="64"/>
          <bgColor auto="1"/>
        </patternFill>
      </fill>
      <alignment horizontal="center" vertical="center" textRotation="0" wrapText="0" indent="0" justifyLastLine="0" shrinkToFit="0" readingOrder="0"/>
      <protection locked="0" hidden="0"/>
    </dxf>
    <dxf>
      <font>
        <b val="0"/>
        <i val="0"/>
        <strike val="0"/>
        <condense val="0"/>
        <extend val="0"/>
        <outline val="0"/>
        <shadow val="0"/>
        <u val="none"/>
        <vertAlign val="baseline"/>
        <sz val="9"/>
        <color rgb="FF000000"/>
        <name val="Cambria"/>
        <family val="1"/>
        <scheme val="major"/>
      </font>
      <fill>
        <patternFill patternType="none">
          <fgColor indexed="64"/>
          <bgColor indexed="65"/>
        </patternFill>
      </fill>
      <alignment horizontal="center" vertical="center" textRotation="0" wrapText="0" indent="0" justifyLastLine="0" shrinkToFit="0" readingOrder="0"/>
      <protection locked="0" hidden="0"/>
    </dxf>
    <dxf>
      <font>
        <b val="0"/>
        <i val="0"/>
        <strike val="0"/>
        <condense val="0"/>
        <extend val="0"/>
        <outline val="0"/>
        <shadow val="0"/>
        <u val="none"/>
        <vertAlign val="baseline"/>
        <sz val="9"/>
        <color rgb="FF000000"/>
        <name val="Cambria"/>
        <family val="1"/>
        <scheme val="major"/>
      </font>
      <fill>
        <patternFill patternType="none">
          <fgColor indexed="64"/>
          <bgColor indexed="65"/>
        </patternFill>
      </fill>
      <alignment horizontal="center" vertical="center" textRotation="0" wrapText="0" indent="0" justifyLastLine="0" shrinkToFit="0" readingOrder="0"/>
      <protection locked="0" hidden="0"/>
    </dxf>
    <dxf>
      <font>
        <b val="0"/>
        <i val="0"/>
        <strike val="0"/>
        <condense val="0"/>
        <extend val="0"/>
        <outline val="0"/>
        <shadow val="0"/>
        <u val="none"/>
        <vertAlign val="baseline"/>
        <sz val="9"/>
        <color rgb="FF000000"/>
        <name val="Cambria"/>
        <family val="1"/>
        <scheme val="major"/>
      </font>
      <fill>
        <patternFill patternType="none">
          <fgColor indexed="64"/>
          <bgColor indexed="65"/>
        </patternFill>
      </fill>
      <alignment horizontal="center" vertical="center" textRotation="0" wrapText="0" indent="0" justifyLastLine="0" shrinkToFit="0" readingOrder="0"/>
      <protection locked="0" hidden="0"/>
    </dxf>
    <dxf>
      <font>
        <b val="0"/>
        <i val="0"/>
        <strike val="0"/>
        <condense val="0"/>
        <extend val="0"/>
        <outline val="0"/>
        <shadow val="0"/>
        <u val="none"/>
        <vertAlign val="baseline"/>
        <sz val="9"/>
        <color rgb="FF000000"/>
        <name val="Cambria"/>
        <family val="1"/>
        <scheme val="major"/>
      </font>
      <fill>
        <patternFill patternType="none">
          <fgColor indexed="64"/>
          <bgColor auto="1"/>
        </patternFill>
      </fill>
      <alignment horizontal="center" vertical="center" textRotation="0" wrapText="0" indent="0" justifyLastLine="0" shrinkToFit="0" readingOrder="0"/>
      <protection locked="0" hidden="0"/>
    </dxf>
    <dxf>
      <font>
        <b val="0"/>
        <i val="0"/>
        <strike val="0"/>
        <condense val="0"/>
        <extend val="0"/>
        <outline val="0"/>
        <shadow val="0"/>
        <u val="none"/>
        <vertAlign val="baseline"/>
        <sz val="9"/>
        <color rgb="FF000000"/>
        <name val="Cambria"/>
        <family val="1"/>
        <scheme val="major"/>
      </font>
      <fill>
        <patternFill patternType="none">
          <fgColor indexed="64"/>
          <bgColor indexed="65"/>
        </patternFill>
      </fill>
      <alignment horizontal="center" vertical="center" textRotation="0" wrapText="0" indent="0" justifyLastLine="0" shrinkToFit="0" readingOrder="0"/>
      <protection locked="0" hidden="0"/>
    </dxf>
    <dxf>
      <font>
        <b val="0"/>
        <i val="0"/>
        <strike val="0"/>
        <condense val="0"/>
        <extend val="0"/>
        <outline val="0"/>
        <shadow val="0"/>
        <u val="none"/>
        <vertAlign val="baseline"/>
        <sz val="9"/>
        <color rgb="FF000000"/>
        <name val="Cambria"/>
        <family val="1"/>
        <scheme val="major"/>
      </font>
      <numFmt numFmtId="167" formatCode="General\ &quot;Pts&quot;"/>
      <fill>
        <patternFill patternType="none">
          <fgColor indexed="64"/>
          <bgColor indexed="65"/>
        </patternFill>
      </fill>
      <alignment horizontal="right" vertical="center" textRotation="0" wrapText="0" indent="0" justifyLastLine="0" shrinkToFit="0" readingOrder="0"/>
      <protection locked="0" hidden="0"/>
    </dxf>
    <dxf>
      <font>
        <b val="0"/>
        <i val="0"/>
        <strike val="0"/>
        <condense val="0"/>
        <extend val="0"/>
        <outline val="0"/>
        <shadow val="0"/>
        <u val="none"/>
        <vertAlign val="baseline"/>
        <sz val="9"/>
        <color rgb="FF000000"/>
        <name val="Cambria"/>
        <family val="1"/>
        <scheme val="major"/>
      </font>
      <numFmt numFmtId="0" formatCode="General"/>
      <fill>
        <patternFill patternType="none">
          <fgColor indexed="64"/>
          <bgColor indexed="65"/>
        </patternFill>
      </fill>
      <alignment horizontal="right" vertical="center" textRotation="0" wrapText="0" indent="0" justifyLastLine="0" shrinkToFit="0" readingOrder="0"/>
      <protection locked="0" hidden="0"/>
    </dxf>
    <dxf>
      <font>
        <b val="0"/>
        <i val="0"/>
        <strike val="0"/>
        <condense val="0"/>
        <extend val="0"/>
        <outline val="0"/>
        <shadow val="0"/>
        <u val="none"/>
        <vertAlign val="baseline"/>
        <sz val="9"/>
        <color rgb="FF000000"/>
        <name val="Cambria"/>
        <family val="1"/>
        <scheme val="major"/>
      </font>
      <numFmt numFmtId="167" formatCode="General\ &quot;Pts&quot;"/>
      <fill>
        <patternFill patternType="none">
          <fgColor indexed="64"/>
          <bgColor indexed="65"/>
        </patternFill>
      </fill>
      <alignment horizontal="right" vertical="center" textRotation="0" wrapText="0" indent="0" justifyLastLine="0" shrinkToFit="0" readingOrder="0"/>
      <protection locked="0" hidden="0"/>
    </dxf>
    <dxf>
      <font>
        <b val="0"/>
        <i val="0"/>
        <strike val="0"/>
        <condense val="0"/>
        <extend val="0"/>
        <outline val="0"/>
        <shadow val="0"/>
        <u val="none"/>
        <vertAlign val="baseline"/>
        <sz val="9"/>
        <color rgb="FF000000"/>
        <name val="Cambria"/>
        <family val="1"/>
        <scheme val="major"/>
      </font>
      <numFmt numFmtId="0" formatCode="General"/>
      <fill>
        <patternFill patternType="none">
          <fgColor indexed="64"/>
          <bgColor indexed="65"/>
        </patternFill>
      </fill>
      <alignment horizontal="right" vertical="center" textRotation="0" wrapText="0" indent="0" justifyLastLine="0" shrinkToFit="0" readingOrder="0"/>
      <protection locked="0" hidden="0"/>
    </dxf>
    <dxf>
      <font>
        <b val="0"/>
        <i val="0"/>
        <strike val="0"/>
        <condense val="0"/>
        <extend val="0"/>
        <outline val="0"/>
        <shadow val="0"/>
        <u val="none"/>
        <vertAlign val="baseline"/>
        <sz val="9"/>
        <color rgb="FF000000"/>
        <name val="Cambria"/>
        <family val="1"/>
        <scheme val="major"/>
      </font>
      <numFmt numFmtId="167" formatCode="General\ &quot;Pts&quot;"/>
      <fill>
        <patternFill patternType="none">
          <fgColor indexed="64"/>
          <bgColor indexed="65"/>
        </patternFill>
      </fill>
      <alignment horizontal="right" vertical="center" textRotation="0" wrapText="0" indent="0" justifyLastLine="0" shrinkToFit="0" readingOrder="0"/>
      <protection locked="0" hidden="0"/>
    </dxf>
    <dxf>
      <font>
        <b val="0"/>
        <i val="0"/>
        <strike val="0"/>
        <condense val="0"/>
        <extend val="0"/>
        <outline val="0"/>
        <shadow val="0"/>
        <u val="none"/>
        <vertAlign val="baseline"/>
        <sz val="9"/>
        <color rgb="FF000000"/>
        <name val="Cambria"/>
        <family val="1"/>
        <scheme val="major"/>
      </font>
      <numFmt numFmtId="167" formatCode="General\ &quot;Pts&quot;"/>
      <fill>
        <patternFill patternType="none">
          <fgColor indexed="64"/>
          <bgColor indexed="65"/>
        </patternFill>
      </fill>
      <alignment horizontal="right" vertical="center" textRotation="0" wrapText="0" indent="0" justifyLastLine="0" shrinkToFit="0" readingOrder="0"/>
      <protection locked="0" hidden="0"/>
    </dxf>
    <dxf>
      <font>
        <b val="0"/>
        <i val="0"/>
        <strike val="0"/>
        <condense val="0"/>
        <extend val="0"/>
        <outline val="0"/>
        <shadow val="0"/>
        <u val="none"/>
        <vertAlign val="baseline"/>
        <sz val="9"/>
        <color rgb="FF000000"/>
        <name val="Cambria"/>
        <family val="1"/>
        <scheme val="major"/>
      </font>
      <numFmt numFmtId="167" formatCode="General\ &quot;Pts&quot;"/>
      <fill>
        <patternFill patternType="none">
          <fgColor indexed="64"/>
          <bgColor indexed="65"/>
        </patternFill>
      </fill>
      <alignment horizontal="right" vertical="center" textRotation="0" wrapText="0" indent="0" justifyLastLine="0" shrinkToFit="0" readingOrder="0"/>
      <protection locked="0" hidden="0"/>
    </dxf>
    <dxf>
      <font>
        <b val="0"/>
        <i val="0"/>
        <strike val="0"/>
        <condense val="0"/>
        <extend val="0"/>
        <outline val="0"/>
        <shadow val="0"/>
        <u val="none"/>
        <vertAlign val="baseline"/>
        <sz val="9"/>
        <color rgb="FF000000"/>
        <name val="Cambria"/>
        <family val="1"/>
        <scheme val="major"/>
      </font>
      <numFmt numFmtId="167" formatCode="General\ &quot;Pts&quot;"/>
      <fill>
        <patternFill patternType="none">
          <fgColor indexed="64"/>
          <bgColor indexed="65"/>
        </patternFill>
      </fill>
      <alignment horizontal="right" vertical="center" textRotation="0" wrapText="0" indent="0" justifyLastLine="0" shrinkToFit="0" readingOrder="0"/>
      <protection locked="0" hidden="0"/>
    </dxf>
    <dxf>
      <font>
        <b val="0"/>
        <i val="0"/>
        <strike val="0"/>
        <condense val="0"/>
        <extend val="0"/>
        <outline val="0"/>
        <shadow val="0"/>
        <u val="none"/>
        <vertAlign val="baseline"/>
        <sz val="9"/>
        <color rgb="FF000000"/>
        <name val="Cambria"/>
        <family val="1"/>
        <scheme val="major"/>
      </font>
      <numFmt numFmtId="167" formatCode="General\ &quot;Pts&quot;"/>
      <fill>
        <patternFill patternType="none">
          <fgColor indexed="64"/>
          <bgColor indexed="65"/>
        </patternFill>
      </fill>
      <alignment horizontal="right" vertical="center" textRotation="0" wrapText="0" indent="0" justifyLastLine="0" shrinkToFit="0" readingOrder="0"/>
      <protection locked="0" hidden="0"/>
    </dxf>
    <dxf>
      <font>
        <b val="0"/>
        <i val="0"/>
        <strike val="0"/>
        <condense val="0"/>
        <extend val="0"/>
        <outline val="0"/>
        <shadow val="0"/>
        <u val="none"/>
        <vertAlign val="baseline"/>
        <sz val="9"/>
        <color rgb="FF000000"/>
        <name val="Cambria"/>
        <family val="1"/>
        <scheme val="major"/>
      </font>
      <numFmt numFmtId="167" formatCode="General\ &quot;Pts&quot;"/>
      <fill>
        <patternFill patternType="none">
          <fgColor indexed="64"/>
          <bgColor indexed="65"/>
        </patternFill>
      </fill>
      <alignment horizontal="right" vertical="center" textRotation="0" wrapText="0" indent="0" justifyLastLine="0" shrinkToFit="0" readingOrder="0"/>
      <protection locked="0" hidden="0"/>
    </dxf>
    <dxf>
      <font>
        <b val="0"/>
        <i val="0"/>
        <strike val="0"/>
        <condense val="0"/>
        <extend val="0"/>
        <outline val="0"/>
        <shadow val="0"/>
        <u val="none"/>
        <vertAlign val="baseline"/>
        <sz val="9"/>
        <color rgb="FF000000"/>
        <name val="Cambria"/>
        <family val="1"/>
        <scheme val="major"/>
      </font>
      <numFmt numFmtId="167" formatCode="General\ &quot;Pts&quot;"/>
      <fill>
        <patternFill patternType="none">
          <fgColor indexed="64"/>
          <bgColor indexed="65"/>
        </patternFill>
      </fill>
      <alignment horizontal="right" vertical="center" textRotation="0" wrapText="0" indent="0" justifyLastLine="0" shrinkToFit="0" readingOrder="0"/>
      <protection locked="0" hidden="0"/>
    </dxf>
    <dxf>
      <font>
        <b val="0"/>
        <i val="0"/>
        <strike val="0"/>
        <condense val="0"/>
        <extend val="0"/>
        <outline val="0"/>
        <shadow val="0"/>
        <u val="none"/>
        <vertAlign val="baseline"/>
        <sz val="9"/>
        <color rgb="FF000000"/>
        <name val="Cambria"/>
        <family val="1"/>
        <scheme val="major"/>
      </font>
      <numFmt numFmtId="179" formatCode="0.000%"/>
      <fill>
        <patternFill patternType="none">
          <fgColor indexed="64"/>
          <bgColor indexed="65"/>
        </patternFill>
      </fill>
      <alignment horizontal="right" vertical="center" textRotation="0" wrapText="0" indent="0" justifyLastLine="0" shrinkToFit="0" readingOrder="0"/>
      <protection locked="0" hidden="0"/>
    </dxf>
    <dxf>
      <font>
        <b val="0"/>
        <i val="0"/>
        <strike val="0"/>
        <condense val="0"/>
        <extend val="0"/>
        <outline val="0"/>
        <shadow val="0"/>
        <u val="none"/>
        <vertAlign val="baseline"/>
        <sz val="9"/>
        <color rgb="FF000000"/>
        <name val="Cambria"/>
        <family val="1"/>
        <scheme val="major"/>
      </font>
      <numFmt numFmtId="14" formatCode="0.00%"/>
      <fill>
        <patternFill patternType="none">
          <fgColor indexed="64"/>
          <bgColor indexed="65"/>
        </patternFill>
      </fill>
      <alignment horizontal="right" vertical="center" textRotation="0" wrapText="0" indent="0" justifyLastLine="0" shrinkToFit="0" readingOrder="0"/>
      <protection locked="0" hidden="0"/>
    </dxf>
    <dxf>
      <font>
        <b val="0"/>
        <i val="0"/>
        <strike val="0"/>
        <condense val="0"/>
        <extend val="0"/>
        <outline val="0"/>
        <shadow val="0"/>
        <u val="none"/>
        <vertAlign val="baseline"/>
        <sz val="9"/>
        <color rgb="FF000000"/>
        <name val="Cambria"/>
        <family val="1"/>
        <scheme val="major"/>
      </font>
      <numFmt numFmtId="166" formatCode="_-* #,##0.00\ [$€-40C]_-;\-* #,##0.00\ [$€-40C]_-;_-* &quot;-&quot;??\ [$€-40C]_-;_-@_-"/>
      <fill>
        <patternFill patternType="none">
          <fgColor indexed="64"/>
          <bgColor indexed="65"/>
        </patternFill>
      </fill>
      <alignment horizontal="right" vertical="center" textRotation="0" wrapText="0" indent="0" justifyLastLine="0" shrinkToFit="0" readingOrder="0"/>
      <protection locked="0" hidden="0"/>
    </dxf>
    <dxf>
      <font>
        <b val="0"/>
        <i val="0"/>
        <strike val="0"/>
        <condense val="0"/>
        <extend val="0"/>
        <outline val="0"/>
        <shadow val="0"/>
        <u val="none"/>
        <vertAlign val="baseline"/>
        <sz val="9"/>
        <color rgb="FF000000"/>
        <name val="Cambria"/>
        <family val="1"/>
        <scheme val="major"/>
      </font>
      <numFmt numFmtId="14" formatCode="0.00%"/>
      <fill>
        <patternFill patternType="none">
          <fgColor indexed="64"/>
          <bgColor indexed="65"/>
        </patternFill>
      </fill>
      <alignment horizontal="right" vertical="center" textRotation="0" wrapText="0" indent="0" justifyLastLine="0" shrinkToFit="0" readingOrder="0"/>
      <protection locked="0" hidden="0"/>
    </dxf>
    <dxf>
      <font>
        <b val="0"/>
        <i val="0"/>
        <strike val="0"/>
        <condense val="0"/>
        <extend val="0"/>
        <outline val="0"/>
        <shadow val="0"/>
        <u val="none"/>
        <vertAlign val="baseline"/>
        <sz val="9"/>
        <color rgb="FF000000"/>
        <name val="Cambria"/>
        <family val="1"/>
        <scheme val="major"/>
      </font>
      <numFmt numFmtId="166" formatCode="_-* #,##0.00\ [$€-40C]_-;\-* #,##0.00\ [$€-40C]_-;_-* &quot;-&quot;??\ [$€-40C]_-;_-@_-"/>
      <fill>
        <patternFill patternType="none">
          <fgColor indexed="64"/>
          <bgColor indexed="65"/>
        </patternFill>
      </fill>
      <alignment horizontal="right" vertical="center" textRotation="0" wrapText="0" indent="0" justifyLastLine="0" shrinkToFit="0" readingOrder="0"/>
      <protection locked="0" hidden="0"/>
    </dxf>
    <dxf>
      <font>
        <b val="0"/>
        <i val="0"/>
        <strike val="0"/>
        <condense val="0"/>
        <extend val="0"/>
        <outline val="0"/>
        <shadow val="0"/>
        <u val="none"/>
        <vertAlign val="baseline"/>
        <sz val="9"/>
        <color rgb="FF000000"/>
        <name val="Cambria"/>
        <family val="1"/>
        <scheme val="major"/>
      </font>
      <numFmt numFmtId="14" formatCode="0.00%"/>
      <fill>
        <patternFill patternType="none">
          <fgColor indexed="64"/>
          <bgColor indexed="65"/>
        </patternFill>
      </fill>
      <alignment horizontal="right" vertical="center" textRotation="0" wrapText="0" indent="0" justifyLastLine="0" shrinkToFit="0" readingOrder="0"/>
      <protection locked="0" hidden="0"/>
    </dxf>
    <dxf>
      <font>
        <b val="0"/>
        <i val="0"/>
        <strike val="0"/>
        <condense val="0"/>
        <extend val="0"/>
        <outline val="0"/>
        <shadow val="0"/>
        <u val="none"/>
        <vertAlign val="baseline"/>
        <sz val="9"/>
        <color rgb="FF000000"/>
        <name val="Cambria"/>
        <family val="1"/>
        <scheme val="major"/>
      </font>
      <numFmt numFmtId="14" formatCode="0.00%"/>
      <fill>
        <patternFill patternType="none">
          <fgColor indexed="64"/>
          <bgColor indexed="65"/>
        </patternFill>
      </fill>
      <alignment horizontal="right" vertical="center" textRotation="0" wrapText="0" indent="0" justifyLastLine="0" shrinkToFit="0" readingOrder="0"/>
      <protection locked="0" hidden="0"/>
    </dxf>
    <dxf>
      <font>
        <b val="0"/>
        <i val="0"/>
        <strike val="0"/>
        <condense val="0"/>
        <extend val="0"/>
        <outline val="0"/>
        <shadow val="0"/>
        <u val="none"/>
        <vertAlign val="baseline"/>
        <sz val="9"/>
        <color rgb="FF000000"/>
        <name val="Cambria"/>
        <family val="1"/>
        <scheme val="major"/>
      </font>
      <numFmt numFmtId="14" formatCode="0.00%"/>
      <fill>
        <patternFill patternType="none">
          <fgColor indexed="64"/>
          <bgColor indexed="65"/>
        </patternFill>
      </fill>
      <alignment horizontal="right" vertical="center" textRotation="0" wrapText="0" indent="0" justifyLastLine="0" shrinkToFit="0" readingOrder="0"/>
      <protection locked="0" hidden="0"/>
    </dxf>
    <dxf>
      <font>
        <b val="0"/>
        <i val="0"/>
        <strike val="0"/>
        <condense val="0"/>
        <extend val="0"/>
        <outline val="0"/>
        <shadow val="0"/>
        <u val="none"/>
        <vertAlign val="baseline"/>
        <sz val="9"/>
        <color rgb="FF000000"/>
        <name val="Cambria"/>
        <family val="1"/>
        <scheme val="major"/>
      </font>
      <numFmt numFmtId="35" formatCode="_-* #,##0.00_-;\-* #,##0.00_-;_-* &quot;-&quot;??_-;_-@_-"/>
      <fill>
        <patternFill patternType="none">
          <fgColor indexed="64"/>
          <bgColor indexed="65"/>
        </patternFill>
      </fill>
      <alignment horizontal="right" vertical="center" textRotation="0" wrapText="0" indent="0" justifyLastLine="0" shrinkToFit="0" readingOrder="0"/>
      <protection locked="0" hidden="0"/>
    </dxf>
    <dxf>
      <font>
        <b val="0"/>
        <i val="0"/>
        <strike val="0"/>
        <condense val="0"/>
        <extend val="0"/>
        <outline val="0"/>
        <shadow val="0"/>
        <u val="none"/>
        <vertAlign val="baseline"/>
        <sz val="9"/>
        <color rgb="FF000000"/>
        <name val="Cambria"/>
        <family val="1"/>
        <scheme val="major"/>
      </font>
      <numFmt numFmtId="166" formatCode="_-* #,##0.00\ [$€-40C]_-;\-* #,##0.00\ [$€-40C]_-;_-* &quot;-&quot;??\ [$€-40C]_-;_-@_-"/>
      <fill>
        <patternFill patternType="none">
          <fgColor indexed="64"/>
          <bgColor indexed="65"/>
        </patternFill>
      </fill>
      <alignment horizontal="right" vertical="center" textRotation="0" wrapText="0" indent="0" justifyLastLine="0" shrinkToFit="0" readingOrder="0"/>
      <protection locked="0" hidden="0"/>
    </dxf>
    <dxf>
      <font>
        <b val="0"/>
        <i val="0"/>
        <strike val="0"/>
        <condense val="0"/>
        <extend val="0"/>
        <outline val="0"/>
        <shadow val="0"/>
        <u val="none"/>
        <vertAlign val="baseline"/>
        <sz val="9"/>
        <color rgb="FF000000"/>
        <name val="Cambria"/>
        <family val="1"/>
        <scheme val="major"/>
      </font>
      <numFmt numFmtId="35" formatCode="_-* #,##0.00_-;\-* #,##0.00_-;_-* &quot;-&quot;??_-;_-@_-"/>
      <fill>
        <patternFill patternType="none">
          <fgColor indexed="64"/>
          <bgColor indexed="65"/>
        </patternFill>
      </fill>
      <alignment horizontal="right" vertical="center" textRotation="0" wrapText="0" indent="0" justifyLastLine="0" shrinkToFit="0" readingOrder="0"/>
      <protection locked="0" hidden="0"/>
    </dxf>
    <dxf>
      <font>
        <b val="0"/>
        <i val="0"/>
        <strike val="0"/>
        <condense val="0"/>
        <extend val="0"/>
        <outline val="0"/>
        <shadow val="0"/>
        <u val="none"/>
        <vertAlign val="baseline"/>
        <sz val="9"/>
        <color rgb="FF000000"/>
        <name val="Cambria"/>
        <family val="1"/>
        <scheme val="major"/>
      </font>
      <numFmt numFmtId="166" formatCode="_-* #,##0.00\ [$€-40C]_-;\-* #,##0.00\ [$€-40C]_-;_-* &quot;-&quot;??\ [$€-40C]_-;_-@_-"/>
      <fill>
        <patternFill patternType="none">
          <fgColor indexed="64"/>
          <bgColor indexed="65"/>
        </patternFill>
      </fill>
      <alignment horizontal="right" vertical="center" textRotation="0" wrapText="0" indent="0" justifyLastLine="0" shrinkToFit="0" readingOrder="0"/>
      <protection locked="0" hidden="0"/>
    </dxf>
    <dxf>
      <font>
        <b val="0"/>
        <i val="0"/>
        <strike val="0"/>
        <condense val="0"/>
        <extend val="0"/>
        <outline val="0"/>
        <shadow val="0"/>
        <u val="none"/>
        <vertAlign val="baseline"/>
        <sz val="9"/>
        <color rgb="FF000000"/>
        <name val="Cambria"/>
        <family val="1"/>
        <scheme val="major"/>
      </font>
      <numFmt numFmtId="35" formatCode="_-* #,##0.00_-;\-* #,##0.00_-;_-* &quot;-&quot;??_-;_-@_-"/>
      <fill>
        <patternFill patternType="none">
          <fgColor indexed="64"/>
          <bgColor indexed="65"/>
        </patternFill>
      </fill>
      <alignment horizontal="right" vertical="center" textRotation="0" wrapText="0" indent="0" justifyLastLine="0" shrinkToFit="0" readingOrder="0"/>
      <protection locked="0" hidden="0"/>
    </dxf>
    <dxf>
      <font>
        <b val="0"/>
        <i val="0"/>
        <strike val="0"/>
        <condense val="0"/>
        <extend val="0"/>
        <outline val="0"/>
        <shadow val="0"/>
        <u val="none"/>
        <vertAlign val="baseline"/>
        <sz val="9"/>
        <color rgb="FF000000"/>
        <name val="Cambria"/>
        <family val="1"/>
        <scheme val="major"/>
      </font>
      <numFmt numFmtId="166" formatCode="_-* #,##0.00\ [$€-40C]_-;\-* #,##0.00\ [$€-40C]_-;_-* &quot;-&quot;??\ [$€-40C]_-;_-@_-"/>
      <fill>
        <patternFill patternType="none">
          <fgColor indexed="64"/>
          <bgColor indexed="65"/>
        </patternFill>
      </fill>
      <alignment horizontal="right" vertical="center" textRotation="0" wrapText="0" indent="0" justifyLastLine="0" shrinkToFit="0" readingOrder="0"/>
      <protection locked="0" hidden="0"/>
    </dxf>
    <dxf>
      <font>
        <b val="0"/>
        <i val="0"/>
        <strike val="0"/>
        <condense val="0"/>
        <extend val="0"/>
        <outline val="0"/>
        <shadow val="0"/>
        <u val="none"/>
        <vertAlign val="baseline"/>
        <sz val="9"/>
        <color rgb="FF000000"/>
        <name val="Cambria"/>
        <family val="1"/>
        <scheme val="major"/>
      </font>
      <numFmt numFmtId="27" formatCode="dd/mm/yyyy\ hh:mm"/>
      <fill>
        <patternFill patternType="none">
          <fgColor indexed="64"/>
          <bgColor indexed="65"/>
        </patternFill>
      </fill>
      <alignment horizontal="right" vertical="center" textRotation="0" wrapText="0" indent="0" justifyLastLine="0" shrinkToFit="0" readingOrder="0"/>
      <protection locked="0" hidden="0"/>
    </dxf>
    <dxf>
      <font>
        <b val="0"/>
        <i val="0"/>
        <strike val="0"/>
        <condense val="0"/>
        <extend val="0"/>
        <outline val="0"/>
        <shadow val="0"/>
        <u val="none"/>
        <vertAlign val="baseline"/>
        <sz val="9"/>
        <color rgb="FF000000"/>
        <name val="Cambria"/>
        <family val="1"/>
        <scheme val="major"/>
      </font>
      <numFmt numFmtId="27" formatCode="dd/mm/yyyy\ hh:mm"/>
      <fill>
        <patternFill patternType="none">
          <fgColor indexed="64"/>
          <bgColor indexed="65"/>
        </patternFill>
      </fill>
      <alignment horizontal="right" vertical="center" textRotation="0" wrapText="0" indent="0" justifyLastLine="0" shrinkToFit="0" readingOrder="0"/>
      <protection locked="0" hidden="0"/>
    </dxf>
    <dxf>
      <font>
        <b val="0"/>
        <i val="0"/>
        <strike val="0"/>
        <condense val="0"/>
        <extend val="0"/>
        <outline val="0"/>
        <shadow val="0"/>
        <u val="none"/>
        <vertAlign val="baseline"/>
        <sz val="9"/>
        <color rgb="FF000000"/>
        <name val="Cambria"/>
        <family val="1"/>
        <scheme val="major"/>
      </font>
      <numFmt numFmtId="166" formatCode="_-* #,##0.00\ [$€-40C]_-;\-* #,##0.00\ [$€-40C]_-;_-* &quot;-&quot;??\ [$€-40C]_-;_-@_-"/>
      <fill>
        <patternFill patternType="none">
          <fgColor indexed="64"/>
          <bgColor indexed="65"/>
        </patternFill>
      </fill>
      <alignment horizontal="right" vertical="center" textRotation="0" wrapText="0" indent="0" justifyLastLine="0" shrinkToFit="0" readingOrder="0"/>
      <protection locked="0" hidden="0"/>
    </dxf>
    <dxf>
      <font>
        <b val="0"/>
        <i val="0"/>
        <strike val="0"/>
        <condense val="0"/>
        <extend val="0"/>
        <outline val="0"/>
        <shadow val="0"/>
        <u val="none"/>
        <vertAlign val="baseline"/>
        <sz val="9"/>
        <color rgb="FF000000"/>
        <name val="Cambria"/>
        <family val="1"/>
        <scheme val="major"/>
      </font>
      <numFmt numFmtId="166" formatCode="_-* #,##0.00\ [$€-40C]_-;\-* #,##0.00\ [$€-40C]_-;_-* &quot;-&quot;??\ [$€-40C]_-;_-@_-"/>
      <fill>
        <patternFill patternType="none">
          <fgColor indexed="64"/>
          <bgColor indexed="65"/>
        </patternFill>
      </fill>
      <alignment horizontal="right" vertical="center" textRotation="0" wrapText="0" indent="0" justifyLastLine="0" shrinkToFit="0" readingOrder="0"/>
      <protection locked="0" hidden="0"/>
    </dxf>
    <dxf>
      <font>
        <b val="0"/>
        <i val="0"/>
        <strike val="0"/>
        <condense val="0"/>
        <extend val="0"/>
        <outline val="0"/>
        <shadow val="0"/>
        <u val="none"/>
        <vertAlign val="baseline"/>
        <sz val="9"/>
        <color rgb="FF000000"/>
        <name val="Cambria"/>
        <family val="1"/>
        <scheme val="major"/>
      </font>
      <numFmt numFmtId="166" formatCode="_-* #,##0.00\ [$€-40C]_-;\-* #,##0.00\ [$€-40C]_-;_-* &quot;-&quot;??\ [$€-40C]_-;_-@_-"/>
      <fill>
        <patternFill patternType="none">
          <fgColor indexed="64"/>
          <bgColor indexed="65"/>
        </patternFill>
      </fill>
      <alignment horizontal="right" vertical="center" textRotation="0" wrapText="0" indent="0" justifyLastLine="0" shrinkToFit="0" readingOrder="0"/>
      <protection locked="0" hidden="0"/>
    </dxf>
    <dxf>
      <font>
        <b val="0"/>
        <i val="0"/>
        <strike val="0"/>
        <condense val="0"/>
        <extend val="0"/>
        <outline val="0"/>
        <shadow val="0"/>
        <u val="none"/>
        <vertAlign val="baseline"/>
        <sz val="9"/>
        <color rgb="FF000000"/>
        <name val="Cambria"/>
        <family val="1"/>
        <scheme val="major"/>
      </font>
      <numFmt numFmtId="166" formatCode="_-* #,##0.00\ [$€-40C]_-;\-* #,##0.00\ [$€-40C]_-;_-* &quot;-&quot;??\ [$€-40C]_-;_-@_-"/>
      <fill>
        <patternFill patternType="none">
          <fgColor indexed="64"/>
          <bgColor indexed="65"/>
        </patternFill>
      </fill>
      <alignment horizontal="right" vertical="center" textRotation="0" wrapText="0" indent="0" justifyLastLine="0" shrinkToFit="0" readingOrder="0"/>
      <protection locked="0" hidden="0"/>
    </dxf>
    <dxf>
      <font>
        <b val="0"/>
        <i val="0"/>
        <strike val="0"/>
        <condense val="0"/>
        <extend val="0"/>
        <outline val="0"/>
        <shadow val="0"/>
        <u val="none"/>
        <vertAlign val="baseline"/>
        <sz val="9"/>
        <color rgb="FF000000"/>
        <name val="Cambria"/>
        <family val="1"/>
        <scheme val="major"/>
      </font>
      <numFmt numFmtId="27" formatCode="dd/mm/yyyy\ hh:mm"/>
      <fill>
        <patternFill patternType="none">
          <fgColor indexed="64"/>
          <bgColor indexed="65"/>
        </patternFill>
      </fill>
      <alignment horizontal="right" vertical="center" textRotation="0" wrapText="0" indent="0" justifyLastLine="0" shrinkToFit="0" readingOrder="0"/>
      <protection locked="0" hidden="0"/>
    </dxf>
    <dxf>
      <font>
        <b val="0"/>
        <i val="0"/>
        <strike val="0"/>
        <condense val="0"/>
        <extend val="0"/>
        <outline val="0"/>
        <shadow val="0"/>
        <u val="none"/>
        <vertAlign val="baseline"/>
        <sz val="9"/>
        <color rgb="FF000000"/>
        <name val="Cambria"/>
        <family val="1"/>
        <scheme val="major"/>
      </font>
      <numFmt numFmtId="27" formatCode="dd/mm/yyyy\ hh:mm"/>
      <fill>
        <patternFill patternType="none">
          <fgColor indexed="64"/>
          <bgColor indexed="65"/>
        </patternFill>
      </fill>
      <alignment horizontal="right" vertical="center" textRotation="0" wrapText="0" indent="0" justifyLastLine="0" shrinkToFit="0" readingOrder="0"/>
      <protection locked="0" hidden="0"/>
    </dxf>
    <dxf>
      <font>
        <b val="0"/>
        <i val="0"/>
        <strike val="0"/>
        <condense val="0"/>
        <extend val="0"/>
        <outline val="0"/>
        <shadow val="0"/>
        <u val="none"/>
        <vertAlign val="baseline"/>
        <sz val="9"/>
        <color rgb="FF000000"/>
        <name val="Cambria"/>
        <family val="1"/>
        <scheme val="major"/>
      </font>
      <numFmt numFmtId="166" formatCode="_-* #,##0.00\ [$€-40C]_-;\-* #,##0.00\ [$€-40C]_-;_-* &quot;-&quot;??\ [$€-40C]_-;_-@_-"/>
      <fill>
        <patternFill patternType="none">
          <fgColor indexed="64"/>
          <bgColor indexed="65"/>
        </patternFill>
      </fill>
      <alignment horizontal="right" vertical="center" textRotation="0" wrapText="0" indent="0" justifyLastLine="0" shrinkToFit="0" readingOrder="0"/>
      <protection locked="0" hidden="0"/>
    </dxf>
    <dxf>
      <font>
        <b val="0"/>
        <i val="0"/>
        <strike val="0"/>
        <condense val="0"/>
        <extend val="0"/>
        <outline val="0"/>
        <shadow val="0"/>
        <u val="none"/>
        <vertAlign val="baseline"/>
        <sz val="9"/>
        <color rgb="FF000000"/>
        <name val="Cambria"/>
        <family val="1"/>
        <scheme val="major"/>
      </font>
      <numFmt numFmtId="166" formatCode="_-* #,##0.00\ [$€-40C]_-;\-* #,##0.00\ [$€-40C]_-;_-* &quot;-&quot;??\ [$€-40C]_-;_-@_-"/>
      <fill>
        <patternFill patternType="none">
          <fgColor indexed="64"/>
          <bgColor auto="1"/>
        </patternFill>
      </fill>
      <alignment horizontal="right" vertical="center" textRotation="0" wrapText="0" indent="0" justifyLastLine="0" shrinkToFit="0" readingOrder="0"/>
      <protection locked="0" hidden="0"/>
    </dxf>
    <dxf>
      <font>
        <b val="0"/>
        <i val="0"/>
        <strike val="0"/>
        <condense val="0"/>
        <extend val="0"/>
        <outline val="0"/>
        <shadow val="0"/>
        <u val="none"/>
        <vertAlign val="baseline"/>
        <sz val="9"/>
        <color rgb="FF000000"/>
        <name val="Cambria"/>
        <family val="1"/>
        <scheme val="major"/>
      </font>
      <numFmt numFmtId="166" formatCode="_-* #,##0.00\ [$€-40C]_-;\-* #,##0.00\ [$€-40C]_-;_-* &quot;-&quot;??\ [$€-40C]_-;_-@_-"/>
      <fill>
        <patternFill patternType="none">
          <fgColor indexed="64"/>
          <bgColor indexed="65"/>
        </patternFill>
      </fill>
      <alignment horizontal="right" vertical="center" textRotation="0" wrapText="0" indent="0" justifyLastLine="0" shrinkToFit="0" readingOrder="0"/>
      <protection locked="0" hidden="0"/>
    </dxf>
    <dxf>
      <font>
        <b val="0"/>
        <i val="0"/>
        <strike val="0"/>
        <condense val="0"/>
        <extend val="0"/>
        <outline val="0"/>
        <shadow val="0"/>
        <u val="none"/>
        <vertAlign val="baseline"/>
        <sz val="9"/>
        <color rgb="FF000000"/>
        <name val="Cambria"/>
        <family val="1"/>
        <scheme val="major"/>
      </font>
      <numFmt numFmtId="0" formatCode="General"/>
      <fill>
        <patternFill patternType="none">
          <fgColor indexed="64"/>
          <bgColor indexed="65"/>
        </patternFill>
      </fill>
      <alignment horizontal="center" vertical="center" textRotation="0" wrapText="0" indent="0" justifyLastLine="0" shrinkToFit="0" readingOrder="0"/>
      <protection locked="0" hidden="0"/>
    </dxf>
    <dxf>
      <font>
        <b val="0"/>
        <i val="0"/>
        <strike val="0"/>
        <condense val="0"/>
        <extend val="0"/>
        <outline val="0"/>
        <shadow val="0"/>
        <u val="none"/>
        <vertAlign val="baseline"/>
        <sz val="9"/>
        <color rgb="FF000000"/>
        <name val="Cambria"/>
        <family val="1"/>
        <scheme val="major"/>
      </font>
      <numFmt numFmtId="0" formatCode="General"/>
      <fill>
        <patternFill patternType="none">
          <fgColor indexed="64"/>
          <bgColor indexed="65"/>
        </patternFill>
      </fill>
      <alignment horizontal="center" vertical="center" textRotation="0" wrapText="0" indent="0" justifyLastLine="0" shrinkToFit="0" readingOrder="0"/>
      <protection locked="0" hidden="0"/>
    </dxf>
    <dxf>
      <font>
        <b val="0"/>
        <i val="0"/>
        <strike val="0"/>
        <condense val="0"/>
        <extend val="0"/>
        <outline val="0"/>
        <shadow val="0"/>
        <u val="none"/>
        <vertAlign val="baseline"/>
        <sz val="9"/>
        <color rgb="FF000000"/>
        <name val="Cambria"/>
        <family val="1"/>
        <scheme val="major"/>
      </font>
      <numFmt numFmtId="167" formatCode="General\ &quot;Pts&quot;"/>
      <fill>
        <patternFill patternType="none">
          <fgColor indexed="64"/>
          <bgColor indexed="65"/>
        </patternFill>
      </fill>
      <alignment horizontal="center" vertical="center" textRotation="0" wrapText="0" indent="0" justifyLastLine="0" shrinkToFit="0" readingOrder="0"/>
      <protection locked="0" hidden="0"/>
    </dxf>
    <dxf>
      <font>
        <b val="0"/>
        <i val="0"/>
        <strike val="0"/>
        <condense val="0"/>
        <extend val="0"/>
        <outline val="0"/>
        <shadow val="0"/>
        <u val="none"/>
        <vertAlign val="baseline"/>
        <sz val="9"/>
        <color rgb="FF000000"/>
        <name val="Cambria"/>
        <family val="1"/>
        <scheme val="major"/>
      </font>
      <numFmt numFmtId="167" formatCode="General\ &quot;Pts&quot;"/>
      <fill>
        <patternFill patternType="none">
          <fgColor indexed="64"/>
          <bgColor indexed="65"/>
        </patternFill>
      </fill>
      <alignment horizontal="center" vertical="center" textRotation="0" wrapText="0" indent="0" justifyLastLine="0" shrinkToFit="0" readingOrder="0"/>
      <protection locked="0" hidden="0"/>
    </dxf>
    <dxf>
      <font>
        <b val="0"/>
        <i val="0"/>
        <strike val="0"/>
        <condense val="0"/>
        <extend val="0"/>
        <outline val="0"/>
        <shadow val="0"/>
        <u val="none"/>
        <vertAlign val="baseline"/>
        <sz val="9"/>
        <color rgb="FF000000"/>
        <name val="Cambria"/>
        <family val="1"/>
        <scheme val="major"/>
      </font>
      <numFmt numFmtId="0" formatCode="General"/>
      <fill>
        <patternFill patternType="none">
          <fgColor indexed="64"/>
          <bgColor indexed="65"/>
        </patternFill>
      </fill>
      <alignment horizontal="right" vertical="center" textRotation="0" wrapText="0" indent="0" justifyLastLine="0" shrinkToFit="0" readingOrder="0"/>
      <protection locked="0" hidden="0"/>
    </dxf>
    <dxf>
      <font>
        <b val="0"/>
        <i val="0"/>
        <strike val="0"/>
        <condense val="0"/>
        <extend val="0"/>
        <outline val="0"/>
        <shadow val="0"/>
        <u val="none"/>
        <vertAlign val="baseline"/>
        <sz val="9"/>
        <color rgb="FF000000"/>
        <name val="Cambria"/>
        <family val="1"/>
        <scheme val="major"/>
      </font>
      <numFmt numFmtId="0" formatCode="General"/>
      <fill>
        <patternFill patternType="none">
          <fgColor indexed="64"/>
          <bgColor indexed="65"/>
        </patternFill>
      </fill>
      <alignment horizontal="right" vertical="center" textRotation="0" wrapText="0" indent="0" justifyLastLine="0" shrinkToFit="0" readingOrder="0"/>
      <protection locked="0" hidden="0"/>
    </dxf>
    <dxf>
      <font>
        <b val="0"/>
        <i val="0"/>
        <strike val="0"/>
        <condense val="0"/>
        <extend val="0"/>
        <outline val="0"/>
        <shadow val="0"/>
        <u val="none"/>
        <vertAlign val="baseline"/>
        <sz val="9"/>
        <color rgb="FF000000"/>
        <name val="Cambria"/>
        <family val="1"/>
        <scheme val="major"/>
      </font>
      <numFmt numFmtId="175" formatCode="General&quot; h&quot;"/>
      <fill>
        <patternFill patternType="none">
          <fgColor indexed="64"/>
          <bgColor indexed="65"/>
        </patternFill>
      </fill>
      <alignment horizontal="right" vertical="center" textRotation="0" wrapText="0" indent="0" justifyLastLine="0" shrinkToFit="0" readingOrder="0"/>
      <protection locked="0" hidden="0"/>
    </dxf>
    <dxf>
      <font>
        <b val="0"/>
        <i val="0"/>
        <strike val="0"/>
        <condense val="0"/>
        <extend val="0"/>
        <outline val="0"/>
        <shadow val="0"/>
        <u val="none"/>
        <vertAlign val="baseline"/>
        <sz val="9"/>
        <color rgb="FF000000"/>
        <name val="Cambria"/>
        <family val="1"/>
        <scheme val="major"/>
      </font>
      <numFmt numFmtId="19" formatCode="dd/mm/yyyy"/>
      <fill>
        <patternFill patternType="none">
          <fgColor indexed="64"/>
          <bgColor indexed="65"/>
        </patternFill>
      </fill>
      <alignment horizontal="right" vertical="center" textRotation="0" wrapText="0" indent="0" justifyLastLine="0" shrinkToFit="0" readingOrder="0"/>
      <protection locked="0" hidden="0"/>
    </dxf>
    <dxf>
      <font>
        <b val="0"/>
        <i val="0"/>
        <strike val="0"/>
        <condense val="0"/>
        <extend val="0"/>
        <outline val="0"/>
        <shadow val="0"/>
        <u val="none"/>
        <vertAlign val="baseline"/>
        <sz val="9"/>
        <color rgb="FF000000"/>
        <name val="Cambria"/>
        <family val="1"/>
        <scheme val="major"/>
      </font>
      <numFmt numFmtId="174" formatCode="dddd"/>
      <fill>
        <patternFill patternType="none">
          <fgColor indexed="64"/>
          <bgColor indexed="65"/>
        </patternFill>
      </fill>
      <alignment horizontal="right" vertical="center" textRotation="0" wrapText="0" indent="0" justifyLastLine="0" shrinkToFit="0" readingOrder="0"/>
      <protection locked="0" hidden="0"/>
    </dxf>
    <dxf>
      <font>
        <b val="0"/>
        <i val="0"/>
        <strike val="0"/>
        <condense val="0"/>
        <extend val="0"/>
        <outline val="0"/>
        <shadow val="0"/>
        <u val="none"/>
        <vertAlign val="baseline"/>
        <sz val="9"/>
        <color rgb="FF000000"/>
        <name val="Cambria"/>
        <family val="1"/>
        <scheme val="major"/>
      </font>
      <numFmt numFmtId="19" formatCode="dd/mm/yyyy"/>
      <fill>
        <patternFill patternType="none">
          <fgColor indexed="64"/>
          <bgColor indexed="65"/>
        </patternFill>
      </fill>
      <alignment horizontal="right" vertical="center" textRotation="0" wrapText="0" indent="0" justifyLastLine="0" shrinkToFit="0" readingOrder="0"/>
      <protection locked="0" hidden="0"/>
    </dxf>
    <dxf>
      <font>
        <b val="0"/>
        <i val="0"/>
        <strike val="0"/>
        <condense val="0"/>
        <extend val="0"/>
        <outline val="0"/>
        <shadow val="0"/>
        <u val="none"/>
        <vertAlign val="baseline"/>
        <sz val="9"/>
        <color rgb="FF000000"/>
        <name val="Cambria"/>
        <family val="1"/>
        <scheme val="major"/>
      </font>
      <numFmt numFmtId="0" formatCode="General"/>
      <fill>
        <patternFill patternType="none">
          <fgColor indexed="64"/>
          <bgColor indexed="65"/>
        </patternFill>
      </fill>
      <alignment horizontal="center" vertical="center" textRotation="0" wrapText="0" indent="0" justifyLastLine="0" shrinkToFit="0" readingOrder="0"/>
      <protection locked="0" hidden="0"/>
    </dxf>
    <dxf>
      <font>
        <b val="0"/>
        <i val="0"/>
        <strike val="0"/>
        <condense val="0"/>
        <extend val="0"/>
        <outline val="0"/>
        <shadow val="0"/>
        <u val="none"/>
        <vertAlign val="baseline"/>
        <sz val="9"/>
        <color rgb="FF000000"/>
        <name val="Cambria"/>
        <family val="1"/>
        <scheme val="major"/>
      </font>
      <numFmt numFmtId="19" formatCode="dd/mm/yyyy"/>
      <fill>
        <patternFill patternType="none">
          <fgColor indexed="64"/>
          <bgColor indexed="65"/>
        </patternFill>
      </fill>
      <alignment horizontal="right" vertical="center" textRotation="0" wrapText="0" indent="0" justifyLastLine="0" shrinkToFit="0" readingOrder="0"/>
      <protection locked="0" hidden="0"/>
    </dxf>
    <dxf>
      <font>
        <b val="0"/>
        <i val="0"/>
        <strike val="0"/>
        <condense val="0"/>
        <extend val="0"/>
        <outline val="0"/>
        <shadow val="0"/>
        <u val="none"/>
        <vertAlign val="baseline"/>
        <sz val="9"/>
        <color rgb="FF000000"/>
        <name val="Cambria"/>
        <family val="1"/>
        <scheme val="major"/>
      </font>
      <numFmt numFmtId="19" formatCode="dd/mm/yyyy"/>
      <fill>
        <patternFill patternType="none">
          <fgColor indexed="64"/>
          <bgColor indexed="65"/>
        </patternFill>
      </fill>
      <alignment horizontal="right" vertical="center" textRotation="0" wrapText="0" indent="0" justifyLastLine="0" shrinkToFit="0" readingOrder="0"/>
      <protection locked="0" hidden="0"/>
    </dxf>
    <dxf>
      <font>
        <b val="0"/>
        <i val="0"/>
        <strike val="0"/>
        <condense val="0"/>
        <extend val="0"/>
        <outline val="0"/>
        <shadow val="0"/>
        <u val="none"/>
        <vertAlign val="baseline"/>
        <sz val="9"/>
        <color rgb="FF000000"/>
        <name val="Cambria"/>
        <family val="1"/>
        <scheme val="major"/>
      </font>
      <numFmt numFmtId="166" formatCode="_-* #,##0.00\ [$€-40C]_-;\-* #,##0.00\ [$€-40C]_-;_-* &quot;-&quot;??\ [$€-40C]_-;_-@_-"/>
      <fill>
        <patternFill patternType="none">
          <fgColor indexed="64"/>
          <bgColor indexed="65"/>
        </patternFill>
      </fill>
      <alignment horizontal="right" vertical="center" textRotation="0" wrapText="0" indent="0" justifyLastLine="0" shrinkToFit="0" readingOrder="0"/>
      <protection locked="0" hidden="0"/>
    </dxf>
    <dxf>
      <font>
        <b val="0"/>
        <i val="0"/>
        <strike val="0"/>
        <condense val="0"/>
        <extend val="0"/>
        <outline val="0"/>
        <shadow val="0"/>
        <u val="none"/>
        <vertAlign val="baseline"/>
        <sz val="9"/>
        <color rgb="FF000000"/>
        <name val="Cambria"/>
        <family val="1"/>
        <scheme val="major"/>
      </font>
      <numFmt numFmtId="166" formatCode="_-* #,##0.00\ [$€-40C]_-;\-* #,##0.00\ [$€-40C]_-;_-* &quot;-&quot;??\ [$€-40C]_-;_-@_-"/>
      <fill>
        <patternFill patternType="none">
          <fgColor indexed="64"/>
          <bgColor indexed="65"/>
        </patternFill>
      </fill>
      <alignment horizontal="right" vertical="center" textRotation="0" wrapText="0" indent="0" justifyLastLine="0" shrinkToFit="0" readingOrder="0"/>
      <protection locked="0" hidden="0"/>
    </dxf>
    <dxf>
      <font>
        <b val="0"/>
        <i val="0"/>
        <strike val="0"/>
        <condense val="0"/>
        <extend val="0"/>
        <outline val="0"/>
        <shadow val="0"/>
        <u val="none"/>
        <vertAlign val="baseline"/>
        <sz val="9"/>
        <color rgb="FF000000"/>
        <name val="Cambria"/>
        <family val="1"/>
        <scheme val="major"/>
      </font>
      <numFmt numFmtId="166" formatCode="_-* #,##0.00\ [$€-40C]_-;\-* #,##0.00\ [$€-40C]_-;_-* &quot;-&quot;??\ [$€-40C]_-;_-@_-"/>
      <fill>
        <patternFill patternType="none">
          <fgColor indexed="64"/>
          <bgColor indexed="65"/>
        </patternFill>
      </fill>
      <alignment horizontal="right" vertical="center" textRotation="0" wrapText="0" indent="0" justifyLastLine="0" shrinkToFit="0" readingOrder="0"/>
      <protection locked="0" hidden="0"/>
    </dxf>
    <dxf>
      <font>
        <b val="0"/>
        <i val="0"/>
        <strike val="0"/>
        <condense val="0"/>
        <extend val="0"/>
        <outline val="0"/>
        <shadow val="0"/>
        <u val="none"/>
        <vertAlign val="baseline"/>
        <sz val="9"/>
        <color rgb="FF000000"/>
        <name val="Cambria"/>
        <family val="1"/>
        <scheme val="major"/>
      </font>
      <numFmt numFmtId="166" formatCode="_-* #,##0.00\ [$€-40C]_-;\-* #,##0.00\ [$€-40C]_-;_-* &quot;-&quot;??\ [$€-40C]_-;_-@_-"/>
      <fill>
        <patternFill patternType="none">
          <fgColor indexed="64"/>
          <bgColor indexed="65"/>
        </patternFill>
      </fill>
      <alignment horizontal="right" vertical="center" textRotation="0" wrapText="0" indent="0" justifyLastLine="0" shrinkToFit="0" readingOrder="0"/>
      <protection locked="0" hidden="0"/>
    </dxf>
    <dxf>
      <font>
        <b val="0"/>
        <i val="0"/>
        <strike val="0"/>
        <condense val="0"/>
        <extend val="0"/>
        <outline val="0"/>
        <shadow val="0"/>
        <u val="none"/>
        <vertAlign val="baseline"/>
        <sz val="9"/>
        <color rgb="FF000000"/>
        <name val="Cambria"/>
        <family val="1"/>
        <scheme val="major"/>
      </font>
      <numFmt numFmtId="166" formatCode="_-* #,##0.00\ [$€-40C]_-;\-* #,##0.00\ [$€-40C]_-;_-* &quot;-&quot;??\ [$€-40C]_-;_-@_-"/>
      <fill>
        <patternFill patternType="none">
          <fgColor indexed="64"/>
          <bgColor indexed="65"/>
        </patternFill>
      </fill>
      <alignment horizontal="right" vertical="center" textRotation="0" wrapText="0" indent="0" justifyLastLine="0" shrinkToFit="0" readingOrder="0"/>
      <protection locked="0" hidden="0"/>
    </dxf>
    <dxf>
      <font>
        <b val="0"/>
        <i val="0"/>
        <strike val="0"/>
        <condense val="0"/>
        <extend val="0"/>
        <outline val="0"/>
        <shadow val="0"/>
        <u val="none"/>
        <vertAlign val="baseline"/>
        <sz val="9"/>
        <color rgb="FF000000"/>
        <name val="Cambria"/>
        <family val="1"/>
        <scheme val="major"/>
      </font>
      <numFmt numFmtId="0" formatCode="General"/>
      <fill>
        <patternFill patternType="none">
          <fgColor indexed="64"/>
          <bgColor indexed="65"/>
        </patternFill>
      </fill>
      <alignment horizontal="right" vertical="center" textRotation="0" wrapText="0" indent="0" justifyLastLine="0" shrinkToFit="0" readingOrder="0"/>
      <protection locked="0" hidden="0"/>
    </dxf>
    <dxf>
      <font>
        <b val="0"/>
        <i val="0"/>
        <strike val="0"/>
        <condense val="0"/>
        <extend val="0"/>
        <outline val="0"/>
        <shadow val="0"/>
        <u val="none"/>
        <vertAlign val="baseline"/>
        <sz val="9"/>
        <color rgb="FF000000"/>
        <name val="Cambria"/>
        <family val="1"/>
        <scheme val="major"/>
      </font>
      <numFmt numFmtId="166" formatCode="_-* #,##0.00\ [$€-40C]_-;\-* #,##0.00\ [$€-40C]_-;_-* &quot;-&quot;??\ [$€-40C]_-;_-@_-"/>
      <fill>
        <patternFill patternType="none">
          <fgColor indexed="64"/>
          <bgColor indexed="65"/>
        </patternFill>
      </fill>
      <alignment horizontal="right" vertical="center" textRotation="0" wrapText="0" indent="0" justifyLastLine="0" shrinkToFit="0" readingOrder="0"/>
      <protection locked="0" hidden="0"/>
    </dxf>
    <dxf>
      <font>
        <b val="0"/>
        <i val="0"/>
        <strike val="0"/>
        <condense val="0"/>
        <extend val="0"/>
        <outline val="0"/>
        <shadow val="0"/>
        <u val="none"/>
        <vertAlign val="baseline"/>
        <sz val="9"/>
        <color rgb="FF000000"/>
        <name val="Cambria"/>
        <family val="1"/>
        <scheme val="major"/>
      </font>
      <numFmt numFmtId="166" formatCode="_-* #,##0.00\ [$€-40C]_-;\-* #,##0.00\ [$€-40C]_-;_-* &quot;-&quot;??\ [$€-40C]_-;_-@_-"/>
      <fill>
        <patternFill patternType="none">
          <fgColor indexed="64"/>
          <bgColor auto="1"/>
        </patternFill>
      </fill>
      <alignment horizontal="right" vertical="center" textRotation="0" wrapText="0" indent="0" justifyLastLine="0" shrinkToFit="0" readingOrder="0"/>
      <protection locked="0" hidden="0"/>
    </dxf>
    <dxf>
      <font>
        <b val="0"/>
        <i val="0"/>
        <strike val="0"/>
        <condense val="0"/>
        <extend val="0"/>
        <outline val="0"/>
        <shadow val="0"/>
        <u val="none"/>
        <vertAlign val="baseline"/>
        <sz val="9"/>
        <color rgb="FF000000"/>
        <name val="Cambria"/>
        <family val="1"/>
        <scheme val="major"/>
      </font>
      <numFmt numFmtId="165" formatCode="#\ ##0.00;\-#\ ##0.00;0.00;"/>
      <fill>
        <patternFill patternType="none">
          <fgColor indexed="64"/>
          <bgColor indexed="65"/>
        </patternFill>
      </fill>
      <alignment horizontal="right" vertical="center" textRotation="0" wrapText="0" indent="0" justifyLastLine="0" shrinkToFit="0" readingOrder="0"/>
      <protection locked="0" hidden="0"/>
    </dxf>
    <dxf>
      <font>
        <b val="0"/>
        <i val="0"/>
        <strike val="0"/>
        <condense val="0"/>
        <extend val="0"/>
        <outline val="0"/>
        <shadow val="0"/>
        <u val="none"/>
        <vertAlign val="baseline"/>
        <sz val="9"/>
        <color rgb="FF000000"/>
        <name val="Cambria"/>
        <family val="1"/>
        <scheme val="major"/>
      </font>
      <numFmt numFmtId="165" formatCode="#\ ##0.00;\-#\ ##0.00;0.00;"/>
      <fill>
        <patternFill patternType="none">
          <fgColor indexed="64"/>
          <bgColor auto="1"/>
        </patternFill>
      </fill>
      <alignment horizontal="right" vertical="center" textRotation="0" wrapText="0" indent="0" justifyLastLine="0" shrinkToFit="0" readingOrder="0"/>
      <protection locked="0" hidden="0"/>
    </dxf>
    <dxf>
      <font>
        <b val="0"/>
        <i val="0"/>
        <strike val="0"/>
        <condense val="0"/>
        <extend val="0"/>
        <outline val="0"/>
        <shadow val="0"/>
        <u val="none"/>
        <vertAlign val="baseline"/>
        <sz val="9"/>
        <color rgb="FF000000"/>
        <name val="Cambria"/>
        <family val="1"/>
        <scheme val="major"/>
      </font>
      <numFmt numFmtId="165" formatCode="#\ ##0.00;\-#\ ##0.00;0.00;"/>
      <fill>
        <patternFill patternType="none">
          <fgColor indexed="64"/>
          <bgColor indexed="65"/>
        </patternFill>
      </fill>
      <alignment horizontal="right" vertical="center" textRotation="0" wrapText="0" indent="0" justifyLastLine="0" shrinkToFit="0" readingOrder="0"/>
      <protection locked="0" hidden="0"/>
    </dxf>
    <dxf>
      <font>
        <b val="0"/>
        <i val="0"/>
        <strike val="0"/>
        <condense val="0"/>
        <extend val="0"/>
        <outline val="0"/>
        <shadow val="0"/>
        <u val="none"/>
        <vertAlign val="baseline"/>
        <sz val="9"/>
        <color rgb="FF000000"/>
        <name val="Cambria"/>
        <family val="1"/>
        <scheme val="major"/>
      </font>
      <numFmt numFmtId="165" formatCode="#\ ##0.00;\-#\ ##0.00;0.00;"/>
      <fill>
        <patternFill patternType="none">
          <fgColor indexed="64"/>
          <bgColor auto="1"/>
        </patternFill>
      </fill>
      <alignment horizontal="right" vertical="center" textRotation="0" wrapText="0" indent="0" justifyLastLine="0" shrinkToFit="0" readingOrder="0"/>
      <protection locked="0" hidden="0"/>
    </dxf>
    <dxf>
      <font>
        <b val="0"/>
        <i val="0"/>
        <strike val="0"/>
        <condense val="0"/>
        <extend val="0"/>
        <outline val="0"/>
        <shadow val="0"/>
        <u val="none"/>
        <vertAlign val="baseline"/>
        <sz val="9"/>
        <color rgb="FF000000"/>
        <name val="Cambria"/>
        <family val="1"/>
        <scheme val="major"/>
      </font>
      <numFmt numFmtId="165" formatCode="#\ ##0.00;\-#\ ##0.00;0.00;"/>
      <fill>
        <patternFill patternType="none">
          <fgColor indexed="64"/>
          <bgColor indexed="65"/>
        </patternFill>
      </fill>
      <alignment horizontal="right" vertical="center" textRotation="0" wrapText="0" indent="0" justifyLastLine="0" shrinkToFit="0" readingOrder="0"/>
      <protection locked="0" hidden="0"/>
    </dxf>
    <dxf>
      <font>
        <b val="0"/>
        <i val="0"/>
        <strike val="0"/>
        <condense val="0"/>
        <extend val="0"/>
        <outline val="0"/>
        <shadow val="0"/>
        <u val="none"/>
        <vertAlign val="baseline"/>
        <sz val="9"/>
        <color rgb="FF000000"/>
        <name val="Cambria"/>
        <family val="1"/>
        <scheme val="major"/>
      </font>
      <numFmt numFmtId="165" formatCode="#\ ##0.00;\-#\ ##0.00;0.00;"/>
      <fill>
        <patternFill patternType="none">
          <fgColor indexed="64"/>
          <bgColor auto="1"/>
        </patternFill>
      </fill>
      <alignment horizontal="right" vertical="center" textRotation="0" wrapText="0" indent="0" justifyLastLine="0" shrinkToFit="0" readingOrder="0"/>
      <protection locked="0" hidden="0"/>
    </dxf>
    <dxf>
      <font>
        <b val="0"/>
        <i val="0"/>
        <strike val="0"/>
        <condense val="0"/>
        <extend val="0"/>
        <outline val="0"/>
        <shadow val="0"/>
        <u val="none"/>
        <vertAlign val="baseline"/>
        <sz val="9"/>
        <color rgb="FF000000"/>
        <name val="Cambria"/>
        <family val="1"/>
        <scheme val="major"/>
      </font>
      <fill>
        <patternFill patternType="none">
          <fgColor indexed="64"/>
          <bgColor indexed="65"/>
        </patternFill>
      </fill>
      <alignment horizontal="right" vertical="center" textRotation="0" wrapText="0" indent="0" justifyLastLine="0" shrinkToFit="0" readingOrder="0"/>
      <protection locked="0" hidden="0"/>
    </dxf>
    <dxf>
      <font>
        <b val="0"/>
        <i val="0"/>
        <strike val="0"/>
        <condense val="0"/>
        <extend val="0"/>
        <outline val="0"/>
        <shadow val="0"/>
        <u val="none"/>
        <vertAlign val="baseline"/>
        <sz val="9"/>
        <color rgb="FF000000"/>
        <name val="Cambria"/>
        <family val="1"/>
        <scheme val="major"/>
      </font>
      <fill>
        <patternFill patternType="none">
          <fgColor indexed="64"/>
          <bgColor auto="1"/>
        </patternFill>
      </fill>
      <alignment horizontal="right" vertical="center" textRotation="0" wrapText="0" indent="0" justifyLastLine="0" shrinkToFit="0" readingOrder="0"/>
      <protection locked="0" hidden="0"/>
    </dxf>
    <dxf>
      <font>
        <b val="0"/>
        <i val="0"/>
        <strike val="0"/>
        <condense val="0"/>
        <extend val="0"/>
        <outline val="0"/>
        <shadow val="0"/>
        <u val="none"/>
        <vertAlign val="baseline"/>
        <sz val="9"/>
        <color rgb="FF000000"/>
        <name val="Cambria"/>
        <family val="1"/>
        <scheme val="major"/>
      </font>
      <numFmt numFmtId="165" formatCode="#\ ##0.00;\-#\ ##0.00;0.00;"/>
      <fill>
        <patternFill patternType="none">
          <fgColor indexed="64"/>
          <bgColor indexed="65"/>
        </patternFill>
      </fill>
      <alignment horizontal="right" vertical="center" textRotation="0" wrapText="0" indent="0" justifyLastLine="0" shrinkToFit="0" readingOrder="0"/>
      <protection locked="0" hidden="0"/>
    </dxf>
    <dxf>
      <font>
        <b val="0"/>
        <i val="0"/>
        <strike val="0"/>
        <condense val="0"/>
        <extend val="0"/>
        <outline val="0"/>
        <shadow val="0"/>
        <u val="none"/>
        <vertAlign val="baseline"/>
        <sz val="9"/>
        <color rgb="FF000000"/>
        <name val="Cambria"/>
        <family val="1"/>
        <scheme val="major"/>
      </font>
      <numFmt numFmtId="165" formatCode="#\ ##0.00;\-#\ ##0.00;0.00;"/>
      <fill>
        <patternFill patternType="none">
          <fgColor indexed="64"/>
          <bgColor auto="1"/>
        </patternFill>
      </fill>
      <alignment horizontal="right" vertical="center" textRotation="0" wrapText="0" indent="0" justifyLastLine="0" shrinkToFit="0" readingOrder="0"/>
      <protection locked="0" hidden="0"/>
    </dxf>
    <dxf>
      <font>
        <b val="0"/>
        <i val="0"/>
        <strike val="0"/>
        <condense val="0"/>
        <extend val="0"/>
        <outline val="0"/>
        <shadow val="0"/>
        <u val="none"/>
        <vertAlign val="baseline"/>
        <sz val="9"/>
        <color rgb="FF000000"/>
        <name val="Cambria"/>
        <family val="1"/>
        <scheme val="major"/>
      </font>
      <numFmt numFmtId="165" formatCode="#\ ##0.00;\-#\ ##0.00;0.00;"/>
      <fill>
        <patternFill patternType="none">
          <fgColor indexed="64"/>
          <bgColor indexed="65"/>
        </patternFill>
      </fill>
      <alignment horizontal="right" vertical="center" textRotation="0" wrapText="0" indent="0" justifyLastLine="0" shrinkToFit="0" readingOrder="0"/>
      <protection locked="0" hidden="0"/>
    </dxf>
    <dxf>
      <font>
        <b val="0"/>
        <i val="0"/>
        <strike val="0"/>
        <condense val="0"/>
        <extend val="0"/>
        <outline val="0"/>
        <shadow val="0"/>
        <u val="none"/>
        <vertAlign val="baseline"/>
        <sz val="9"/>
        <color rgb="FF000000"/>
        <name val="Cambria"/>
        <family val="1"/>
        <scheme val="major"/>
      </font>
      <numFmt numFmtId="165" formatCode="#\ ##0.00;\-#\ ##0.00;0.00;"/>
      <fill>
        <patternFill patternType="none">
          <fgColor indexed="64"/>
          <bgColor auto="1"/>
        </patternFill>
      </fill>
      <alignment horizontal="right" vertical="center" textRotation="0" wrapText="0" indent="0" justifyLastLine="0" shrinkToFit="0" readingOrder="0"/>
      <protection locked="0" hidden="0"/>
    </dxf>
    <dxf>
      <font>
        <b val="0"/>
        <i val="0"/>
        <strike val="0"/>
        <condense val="0"/>
        <extend val="0"/>
        <outline val="0"/>
        <shadow val="0"/>
        <u val="none"/>
        <vertAlign val="baseline"/>
        <sz val="9"/>
        <color rgb="FF000000"/>
        <name val="Cambria"/>
        <family val="1"/>
        <scheme val="major"/>
      </font>
      <numFmt numFmtId="165" formatCode="#\ ##0.00;\-#\ ##0.00;0.00;"/>
      <fill>
        <patternFill patternType="none">
          <fgColor indexed="64"/>
          <bgColor indexed="65"/>
        </patternFill>
      </fill>
      <alignment horizontal="right" vertical="center" textRotation="0" wrapText="0" indent="0" justifyLastLine="0" shrinkToFit="0" readingOrder="0"/>
      <protection locked="0" hidden="0"/>
    </dxf>
    <dxf>
      <font>
        <b val="0"/>
        <i val="0"/>
        <strike val="0"/>
        <condense val="0"/>
        <extend val="0"/>
        <outline val="0"/>
        <shadow val="0"/>
        <u val="none"/>
        <vertAlign val="baseline"/>
        <sz val="9"/>
        <color rgb="FF000000"/>
        <name val="Cambria"/>
        <family val="1"/>
        <scheme val="major"/>
      </font>
      <numFmt numFmtId="165" formatCode="#\ ##0.00;\-#\ ##0.00;0.00;"/>
      <fill>
        <patternFill patternType="none">
          <fgColor indexed="64"/>
          <bgColor auto="1"/>
        </patternFill>
      </fill>
      <alignment horizontal="right" vertical="center" textRotation="0" wrapText="0" indent="0" justifyLastLine="0" shrinkToFit="0" readingOrder="0"/>
      <protection locked="0" hidden="0"/>
    </dxf>
    <dxf>
      <font>
        <b val="0"/>
        <i val="0"/>
        <strike val="0"/>
        <condense val="0"/>
        <extend val="0"/>
        <outline val="0"/>
        <shadow val="0"/>
        <u val="none"/>
        <vertAlign val="baseline"/>
        <sz val="9"/>
        <color rgb="FF000000"/>
        <name val="Cambria"/>
        <family val="1"/>
        <scheme val="major"/>
      </font>
      <fill>
        <patternFill patternType="none">
          <fgColor indexed="64"/>
          <bgColor indexed="65"/>
        </patternFill>
      </fill>
      <alignment horizontal="center" vertical="center" textRotation="0" wrapText="0" indent="0" justifyLastLine="0" shrinkToFit="0" readingOrder="0"/>
      <protection locked="0" hidden="0"/>
    </dxf>
    <dxf>
      <font>
        <b val="0"/>
        <i val="0"/>
        <strike val="0"/>
        <condense val="0"/>
        <extend val="0"/>
        <outline val="0"/>
        <shadow val="0"/>
        <u val="none"/>
        <vertAlign val="baseline"/>
        <sz val="9"/>
        <color rgb="FF000000"/>
        <name val="Cambria"/>
        <family val="1"/>
        <scheme val="major"/>
      </font>
      <fill>
        <patternFill patternType="none">
          <fgColor indexed="64"/>
          <bgColor auto="1"/>
        </patternFill>
      </fill>
      <alignment horizontal="center" vertical="center" textRotation="0" wrapText="0" indent="0" justifyLastLine="0" shrinkToFit="0" readingOrder="0"/>
      <protection locked="0" hidden="0"/>
    </dxf>
    <dxf>
      <font>
        <b val="0"/>
        <i val="0"/>
        <strike val="0"/>
        <condense val="0"/>
        <extend val="0"/>
        <outline val="0"/>
        <shadow val="0"/>
        <u val="none"/>
        <vertAlign val="baseline"/>
        <sz val="9"/>
        <color rgb="FF000000"/>
        <name val="Cambria"/>
        <family val="1"/>
        <scheme val="major"/>
      </font>
      <fill>
        <patternFill patternType="none">
          <fgColor indexed="64"/>
          <bgColor indexed="65"/>
        </patternFill>
      </fill>
      <alignment horizontal="center" vertical="center" textRotation="0" wrapText="0" indent="0" justifyLastLine="0" shrinkToFit="0" readingOrder="0"/>
      <protection locked="0" hidden="0"/>
    </dxf>
    <dxf>
      <font>
        <b val="0"/>
        <i val="0"/>
        <strike val="0"/>
        <condense val="0"/>
        <extend val="0"/>
        <outline val="0"/>
        <shadow val="0"/>
        <u val="none"/>
        <vertAlign val="baseline"/>
        <sz val="9"/>
        <color rgb="FF000000"/>
        <name val="Cambria"/>
        <family val="1"/>
        <scheme val="major"/>
      </font>
      <fill>
        <patternFill patternType="none">
          <fgColor indexed="64"/>
          <bgColor auto="1"/>
        </patternFill>
      </fill>
      <alignment horizontal="center" vertical="center" textRotation="0" wrapText="0" indent="0" justifyLastLine="0" shrinkToFit="0" readingOrder="0"/>
      <protection locked="0" hidden="0"/>
    </dxf>
    <dxf>
      <font>
        <b val="0"/>
        <i val="0"/>
        <strike val="0"/>
        <condense val="0"/>
        <extend val="0"/>
        <outline val="0"/>
        <shadow val="0"/>
        <u val="none"/>
        <vertAlign val="baseline"/>
        <sz val="9"/>
        <color rgb="FF000000"/>
        <name val="Cambria"/>
        <family val="1"/>
        <scheme val="major"/>
      </font>
      <fill>
        <patternFill patternType="none">
          <fgColor indexed="64"/>
          <bgColor indexed="65"/>
        </patternFill>
      </fill>
      <alignment horizontal="center" vertical="center" textRotation="0" wrapText="0" indent="0" justifyLastLine="0" shrinkToFit="0" readingOrder="0"/>
      <protection locked="0" hidden="0"/>
    </dxf>
    <dxf>
      <font>
        <b val="0"/>
        <i val="0"/>
        <strike val="0"/>
        <condense val="0"/>
        <extend val="0"/>
        <outline val="0"/>
        <shadow val="0"/>
        <u val="none"/>
        <vertAlign val="baseline"/>
        <sz val="9"/>
        <color rgb="FF000000"/>
        <name val="Cambria"/>
        <family val="1"/>
        <scheme val="major"/>
      </font>
      <fill>
        <patternFill patternType="none">
          <fgColor indexed="64"/>
          <bgColor auto="1"/>
        </patternFill>
      </fill>
      <alignment horizontal="center" vertical="center" textRotation="0" wrapText="0" indent="0" justifyLastLine="0" shrinkToFit="0" readingOrder="0"/>
      <protection locked="0" hidden="0"/>
    </dxf>
    <dxf>
      <font>
        <b val="0"/>
        <i val="0"/>
        <strike val="0"/>
        <condense val="0"/>
        <extend val="0"/>
        <outline val="0"/>
        <shadow val="0"/>
        <u val="none"/>
        <vertAlign val="baseline"/>
        <sz val="9"/>
        <color rgb="FF000000"/>
        <name val="Cambria"/>
        <family val="1"/>
        <scheme val="major"/>
      </font>
      <numFmt numFmtId="164" formatCode="###0;\-###0;0;"/>
      <fill>
        <patternFill patternType="none">
          <fgColor indexed="64"/>
          <bgColor indexed="65"/>
        </patternFill>
      </fill>
      <alignment horizontal="right" vertical="center" textRotation="0" wrapText="0" indent="0" justifyLastLine="0" shrinkToFit="0" readingOrder="0"/>
      <protection locked="0" hidden="0"/>
    </dxf>
    <dxf>
      <font>
        <b val="0"/>
        <i val="0"/>
        <strike val="0"/>
        <condense val="0"/>
        <extend val="0"/>
        <outline val="0"/>
        <shadow val="0"/>
        <u val="none"/>
        <vertAlign val="baseline"/>
        <sz val="9"/>
        <color rgb="FF000000"/>
        <name val="Cambria"/>
        <family val="1"/>
        <scheme val="major"/>
      </font>
      <numFmt numFmtId="164" formatCode="###0;\-###0;0;"/>
      <fill>
        <patternFill patternType="none">
          <fgColor indexed="64"/>
          <bgColor auto="1"/>
        </patternFill>
      </fill>
      <alignment horizontal="right" vertical="center" textRotation="0" wrapText="0" indent="0" justifyLastLine="0" shrinkToFit="0" readingOrder="0"/>
      <protection locked="0" hidden="0"/>
    </dxf>
    <dxf>
      <font>
        <b val="0"/>
        <i val="0"/>
        <strike val="0"/>
        <condense val="0"/>
        <extend val="0"/>
        <outline val="0"/>
        <shadow val="0"/>
        <u val="none"/>
        <vertAlign val="baseline"/>
        <sz val="9"/>
        <color rgb="FF000000"/>
        <name val="Cambria"/>
        <family val="1"/>
        <scheme val="major"/>
      </font>
      <numFmt numFmtId="27" formatCode="dd/mm/yyyy\ hh:mm"/>
      <fill>
        <patternFill patternType="none">
          <fgColor indexed="64"/>
          <bgColor indexed="65"/>
        </patternFill>
      </fill>
      <alignment horizontal="right" vertical="center" textRotation="0" wrapText="0" indent="0" justifyLastLine="0" shrinkToFit="0" readingOrder="0"/>
      <protection locked="0" hidden="0"/>
    </dxf>
    <dxf>
      <font>
        <b val="0"/>
        <i val="0"/>
        <strike val="0"/>
        <condense val="0"/>
        <extend val="0"/>
        <outline val="0"/>
        <shadow val="0"/>
        <u val="none"/>
        <vertAlign val="baseline"/>
        <sz val="9"/>
        <color rgb="FF000000"/>
        <name val="Cambria"/>
        <family val="1"/>
        <scheme val="major"/>
      </font>
      <numFmt numFmtId="27" formatCode="dd/mm/yyyy\ hh:mm"/>
      <fill>
        <patternFill patternType="none">
          <fgColor indexed="64"/>
          <bgColor auto="1"/>
        </patternFill>
      </fill>
      <alignment horizontal="right" vertical="center" textRotation="0" wrapText="0" indent="0" justifyLastLine="0" shrinkToFit="0" readingOrder="0"/>
      <protection locked="0" hidden="0"/>
    </dxf>
    <dxf>
      <font>
        <b val="0"/>
        <i val="0"/>
        <strike val="0"/>
        <condense val="0"/>
        <extend val="0"/>
        <outline val="0"/>
        <shadow val="0"/>
        <u val="none"/>
        <vertAlign val="baseline"/>
        <sz val="9"/>
        <color rgb="FF000000"/>
        <name val="Cambria"/>
        <family val="1"/>
        <scheme val="major"/>
      </font>
      <fill>
        <patternFill patternType="none">
          <fgColor indexed="64"/>
          <bgColor auto="1"/>
        </patternFill>
      </fill>
      <alignment horizontal="right" vertical="center" textRotation="0" wrapText="0" indent="0" justifyLastLine="0" shrinkToFit="0" readingOrder="0"/>
      <protection locked="0" hidden="0"/>
    </dxf>
    <dxf>
      <border>
        <bottom style="slantDashDot">
          <color theme="0"/>
        </bottom>
      </border>
    </dxf>
    <dxf>
      <font>
        <b/>
        <i val="0"/>
        <strike val="0"/>
        <condense val="0"/>
        <extend val="0"/>
        <outline val="0"/>
        <shadow val="0"/>
        <u val="none"/>
        <vertAlign val="baseline"/>
        <sz val="9"/>
        <color theme="0"/>
        <name val="Cambria"/>
        <family val="1"/>
        <scheme val="major"/>
      </font>
      <fill>
        <patternFill patternType="none">
          <fgColor indexed="64"/>
          <bgColor auto="1"/>
        </patternFill>
      </fill>
      <alignment horizontal="center" vertical="center" textRotation="0" wrapText="0" indent="0" justifyLastLine="0" shrinkToFit="0" readingOrder="0"/>
      <protection locked="0" hidden="0"/>
    </dxf>
    <dxf>
      <font>
        <color rgb="FFC00000"/>
      </font>
    </dxf>
    <dxf>
      <font>
        <color rgb="FF92D050"/>
      </font>
    </dxf>
    <dxf>
      <font>
        <color rgb="FFC00000"/>
      </font>
    </dxf>
    <dxf>
      <font>
        <color rgb="FF92D050"/>
      </font>
    </dxf>
    <dxf>
      <font>
        <color rgb="FFC00000"/>
      </font>
    </dxf>
    <dxf>
      <font>
        <color rgb="FF92D050"/>
      </font>
    </dxf>
    <dxf>
      <font>
        <color rgb="FFC00000"/>
      </font>
    </dxf>
    <dxf>
      <font>
        <color rgb="FF92D050"/>
      </font>
    </dxf>
    <dxf>
      <font>
        <color rgb="FFC00000"/>
      </font>
    </dxf>
    <dxf>
      <font>
        <color rgb="FF92D050"/>
      </font>
    </dxf>
    <dxf>
      <font>
        <color rgb="FFC00000"/>
      </font>
    </dxf>
    <dxf>
      <font>
        <color rgb="FF92D050"/>
      </font>
    </dxf>
    <dxf>
      <font>
        <color rgb="FFC00000"/>
      </font>
    </dxf>
    <dxf>
      <font>
        <color rgb="FF92D050"/>
      </font>
    </dxf>
    <dxf>
      <font>
        <color rgb="FFC00000"/>
      </font>
    </dxf>
    <dxf>
      <font>
        <color rgb="FF92D050"/>
      </font>
    </dxf>
    <dxf>
      <font>
        <color rgb="FF92D050"/>
      </font>
    </dxf>
    <dxf>
      <font>
        <color rgb="FFC00000"/>
      </font>
    </dxf>
    <dxf>
      <font>
        <color rgb="FFC00000"/>
      </font>
    </dxf>
    <dxf>
      <font>
        <color rgb="FF92D050"/>
      </font>
    </dxf>
    <dxf>
      <font>
        <color rgb="FFFFC000"/>
      </font>
    </dxf>
    <dxf>
      <font>
        <color rgb="FFFDEB03"/>
      </font>
    </dxf>
    <dxf>
      <font>
        <color rgb="FF92D050"/>
      </font>
    </dxf>
    <dxf>
      <font>
        <color rgb="FFC00000"/>
      </font>
    </dxf>
    <dxf>
      <font>
        <color rgb="FF92D050"/>
      </font>
    </dxf>
    <dxf>
      <font>
        <color rgb="FFC00000"/>
      </font>
    </dxf>
  </dxfs>
  <tableStyles count="1" defaultTableStyle="TableStyleMedium2" defaultPivotStyle="PivotStyleLight16">
    <tableStyle name="Style BDD Analyse" pivot="0" count="0" xr9:uid="{345C6A1A-145B-441E-BEC3-E706B7BFBC1C}"/>
  </tableStyles>
  <colors>
    <mruColors>
      <color rgb="FFFFE14B"/>
      <color rgb="FF4CB467"/>
      <color rgb="FFF63C40"/>
      <color rgb="FFF60000"/>
      <color rgb="FFFFABAB"/>
      <color rgb="FFFDEB0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microsoft.com/office/2007/relationships/slicerCache" Target="slicerCaches/slicerCache4.xml"/><Relationship Id="rId3" Type="http://schemas.openxmlformats.org/officeDocument/2006/relationships/worksheet" Target="worksheets/sheet3.xml"/><Relationship Id="rId21" Type="http://schemas.openxmlformats.org/officeDocument/2006/relationships/pivotCacheDefinition" Target="pivotCache/pivotCacheDefinition1.xml"/><Relationship Id="rId34" Type="http://schemas.openxmlformats.org/officeDocument/2006/relationships/customXml" Target="../customXml/item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microsoft.com/office/2007/relationships/slicerCache" Target="slicerCaches/slicerCache3.xml"/><Relationship Id="rId33"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microsoft.com/office/2007/relationships/slicerCache" Target="slicerCaches/slicerCache2.xml"/><Relationship Id="rId32"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microsoft.com/office/2007/relationships/slicerCache" Target="slicerCaches/slicerCache1.xml"/><Relationship Id="rId28" Type="http://schemas.microsoft.com/office/2007/relationships/slicerCache" Target="slicerCaches/slicerCache6.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pivotCacheDefinition" Target="pivotCache/pivotCacheDefinition2.xml"/><Relationship Id="rId27" Type="http://schemas.microsoft.com/office/2007/relationships/slicerCache" Target="slicerCaches/slicerCache5.xml"/><Relationship Id="rId30" Type="http://schemas.openxmlformats.org/officeDocument/2006/relationships/connections" Target="connections.xml"/><Relationship Id="rId35" Type="http://schemas.microsoft.com/office/2006/relationships/vbaProject" Target="vbaProject.bin"/><Relationship Id="rId8" Type="http://schemas.openxmlformats.org/officeDocument/2006/relationships/worksheet" Target="worksheets/sheet8.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4.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_rels/chart5.xml.rels><?xml version="1.0" encoding="UTF-8" standalone="yes"?>
<Relationships xmlns="http://schemas.openxmlformats.org/package/2006/relationships"><Relationship Id="rId2" Type="http://schemas.microsoft.com/office/2011/relationships/chartColorStyle" Target="colors5.xml"/><Relationship Id="rId1" Type="http://schemas.microsoft.com/office/2011/relationships/chartStyle" Target="style5.xml"/></Relationships>
</file>

<file path=xl/charts/_rels/chart6.xml.rels><?xml version="1.0" encoding="UTF-8" standalone="yes"?>
<Relationships xmlns="http://schemas.openxmlformats.org/package/2006/relationships"><Relationship Id="rId2" Type="http://schemas.microsoft.com/office/2011/relationships/chartColorStyle" Target="colors6.xml"/><Relationship Id="rId1" Type="http://schemas.microsoft.com/office/2011/relationships/chartStyle" Target="style6.xml"/></Relationships>
</file>

<file path=xl/charts/_rels/chart7.xml.rels><?xml version="1.0" encoding="UTF-8" standalone="yes"?>
<Relationships xmlns="http://schemas.openxmlformats.org/package/2006/relationships"><Relationship Id="rId2" Type="http://schemas.microsoft.com/office/2011/relationships/chartColorStyle" Target="colors7.xml"/><Relationship Id="rId1" Type="http://schemas.microsoft.com/office/2011/relationships/chartStyle" Target="style7.xml"/></Relationships>
</file>

<file path=xl/charts/_rels/chart8.xml.rels><?xml version="1.0" encoding="UTF-8" standalone="yes"?>
<Relationships xmlns="http://schemas.openxmlformats.org/package/2006/relationships"><Relationship Id="rId2" Type="http://schemas.microsoft.com/office/2011/relationships/chartColorStyle" Target="colors8.xml"/><Relationship Id="rId1" Type="http://schemas.microsoft.com/office/2011/relationships/chartStyle" Target="style8.xml"/></Relationships>
</file>

<file path=xl/charts/_rels/chart10.xml.rels><?xml version="1.0" encoding="UTF-8" standalone="yes"?>
<Relationships xmlns="http://schemas.openxmlformats.org/package/2006/relationships"><Relationship Id="rId3" Type="http://schemas.openxmlformats.org/officeDocument/2006/relationships/themeOverride" Target="../theme/themeOverride1.xml"/><Relationship Id="rId2" Type="http://schemas.microsoft.com/office/2011/relationships/chartColorStyle" Target="colors9.xml"/><Relationship Id="rId1" Type="http://schemas.microsoft.com/office/2011/relationships/chartStyle" Target="style9.xml"/></Relationships>
</file>

<file path=xl/charts/_rels/chart11.xml.rels><?xml version="1.0" encoding="UTF-8" standalone="yes"?>
<Relationships xmlns="http://schemas.openxmlformats.org/package/2006/relationships"><Relationship Id="rId3" Type="http://schemas.openxmlformats.org/officeDocument/2006/relationships/themeOverride" Target="../theme/themeOverride2.xml"/><Relationship Id="rId2" Type="http://schemas.microsoft.com/office/2011/relationships/chartColorStyle" Target="colors10.xml"/><Relationship Id="rId1" Type="http://schemas.microsoft.com/office/2011/relationships/chartStyle" Target="style10.xml"/></Relationships>
</file>

<file path=xl/charts/_rels/chart12.xml.rels><?xml version="1.0" encoding="UTF-8" standalone="yes"?>
<Relationships xmlns="http://schemas.openxmlformats.org/package/2006/relationships"><Relationship Id="rId3" Type="http://schemas.openxmlformats.org/officeDocument/2006/relationships/themeOverride" Target="../theme/themeOverride3.xml"/><Relationship Id="rId2" Type="http://schemas.microsoft.com/office/2011/relationships/chartColorStyle" Target="colors11.xml"/><Relationship Id="rId1" Type="http://schemas.microsoft.com/office/2011/relationships/chartStyle" Target="style11.xml"/></Relationships>
</file>

<file path=xl/charts/_rels/chart13.xml.rels><?xml version="1.0" encoding="UTF-8" standalone="yes"?>
<Relationships xmlns="http://schemas.openxmlformats.org/package/2006/relationships"><Relationship Id="rId3" Type="http://schemas.openxmlformats.org/officeDocument/2006/relationships/themeOverride" Target="../theme/themeOverride4.xml"/><Relationship Id="rId2" Type="http://schemas.microsoft.com/office/2011/relationships/chartColorStyle" Target="colors12.xml"/><Relationship Id="rId1" Type="http://schemas.microsoft.com/office/2011/relationships/chartStyle" Target="style12.xml"/></Relationships>
</file>

<file path=xl/charts/_rels/chart14.xml.rels><?xml version="1.0" encoding="UTF-8" standalone="yes"?>
<Relationships xmlns="http://schemas.openxmlformats.org/package/2006/relationships"><Relationship Id="rId3" Type="http://schemas.openxmlformats.org/officeDocument/2006/relationships/themeOverride" Target="../theme/themeOverride5.xml"/><Relationship Id="rId2" Type="http://schemas.microsoft.com/office/2011/relationships/chartColorStyle" Target="colors13.xml"/><Relationship Id="rId1" Type="http://schemas.microsoft.com/office/2011/relationships/chartStyle" Target="style13.xml"/></Relationships>
</file>

<file path=xl/charts/_rels/chart15.xml.rels><?xml version="1.0" encoding="UTF-8" standalone="yes"?>
<Relationships xmlns="http://schemas.openxmlformats.org/package/2006/relationships"><Relationship Id="rId3" Type="http://schemas.openxmlformats.org/officeDocument/2006/relationships/themeOverride" Target="../theme/themeOverride6.xml"/><Relationship Id="rId2" Type="http://schemas.microsoft.com/office/2011/relationships/chartColorStyle" Target="colors14.xml"/><Relationship Id="rId1" Type="http://schemas.microsoft.com/office/2011/relationships/chartStyle" Target="style14.xml"/></Relationships>
</file>

<file path=xl/charts/_rels/chart16.xml.rels><?xml version="1.0" encoding="UTF-8" standalone="yes"?>
<Relationships xmlns="http://schemas.openxmlformats.org/package/2006/relationships"><Relationship Id="rId1" Type="http://schemas.openxmlformats.org/officeDocument/2006/relationships/themeOverride" Target="../theme/themeOverride7.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fr-FR"/>
        </a:p>
      </c:txPr>
    </c:title>
    <c:autoTitleDeleted val="0"/>
    <c:plotArea>
      <c:layout/>
      <c:barChart>
        <c:barDir val="col"/>
        <c:grouping val="clustered"/>
        <c:varyColors val="0"/>
        <c:ser>
          <c:idx val="0"/>
          <c:order val="0"/>
          <c:tx>
            <c:v>Equité Fin de journée</c:v>
          </c:tx>
          <c:spPr>
            <a:solidFill>
              <a:schemeClr val="accent1"/>
            </a:solidFill>
            <a:ln>
              <a:noFill/>
            </a:ln>
            <a:effectLst/>
          </c:spPr>
          <c:invertIfNegative val="0"/>
          <c:cat>
            <c:numRef>
              <c:f>[0]!Plage_variable_dates</c:f>
              <c:numCache>
                <c:formatCode>m/d/yyyy\ h:mm</c:formatCode>
                <c:ptCount val="157"/>
                <c:pt idx="0">
                  <c:v>43864.403865740744</c:v>
                </c:pt>
                <c:pt idx="1">
                  <c:v>43864.659386574072</c:v>
                </c:pt>
                <c:pt idx="2">
                  <c:v>43864.660219907404</c:v>
                </c:pt>
                <c:pt idx="3">
                  <c:v>43864.672500000001</c:v>
                </c:pt>
                <c:pt idx="4">
                  <c:v>43864.672789351855</c:v>
                </c:pt>
                <c:pt idx="5">
                  <c:v>43865.645729166667</c:v>
                </c:pt>
                <c:pt idx="6">
                  <c:v>43865.650057870371</c:v>
                </c:pt>
                <c:pt idx="7">
                  <c:v>43865.650243055556</c:v>
                </c:pt>
                <c:pt idx="8">
                  <c:v>43865.650347222225</c:v>
                </c:pt>
                <c:pt idx="9">
                  <c:v>43865.651006944441</c:v>
                </c:pt>
                <c:pt idx="10">
                  <c:v>43865.652812499997</c:v>
                </c:pt>
                <c:pt idx="11">
                  <c:v>43865.717129629629</c:v>
                </c:pt>
                <c:pt idx="12">
                  <c:v>43865.727083333331</c:v>
                </c:pt>
                <c:pt idx="13">
                  <c:v>43865.729108796295</c:v>
                </c:pt>
                <c:pt idx="14">
                  <c:v>43865.730231481481</c:v>
                </c:pt>
                <c:pt idx="15">
                  <c:v>43865.73064814815</c:v>
                </c:pt>
                <c:pt idx="16">
                  <c:v>43865.739131944443</c:v>
                </c:pt>
                <c:pt idx="17">
                  <c:v>43865.740995370368</c:v>
                </c:pt>
                <c:pt idx="18">
                  <c:v>43865.742199074077</c:v>
                </c:pt>
                <c:pt idx="19">
                  <c:v>43865.754155092596</c:v>
                </c:pt>
                <c:pt idx="20">
                  <c:v>43865.755312499998</c:v>
                </c:pt>
                <c:pt idx="21">
                  <c:v>43865.758553240739</c:v>
                </c:pt>
                <c:pt idx="22">
                  <c:v>43865.767222222225</c:v>
                </c:pt>
                <c:pt idx="23">
                  <c:v>43865.841574074075</c:v>
                </c:pt>
                <c:pt idx="24">
                  <c:v>43866.667986111112</c:v>
                </c:pt>
                <c:pt idx="25">
                  <c:v>43866.668449074074</c:v>
                </c:pt>
                <c:pt idx="26">
                  <c:v>43866.66920138889</c:v>
                </c:pt>
                <c:pt idx="27">
                  <c:v>43866.66951388889</c:v>
                </c:pt>
                <c:pt idx="28">
                  <c:v>43866.669803240744</c:v>
                </c:pt>
                <c:pt idx="29">
                  <c:v>43866.672395833331</c:v>
                </c:pt>
                <c:pt idx="30">
                  <c:v>43866.673587962963</c:v>
                </c:pt>
                <c:pt idx="31">
                  <c:v>43866.674062500002</c:v>
                </c:pt>
                <c:pt idx="32">
                  <c:v>43866.677129629628</c:v>
                </c:pt>
                <c:pt idx="33">
                  <c:v>43866.677604166667</c:v>
                </c:pt>
                <c:pt idx="34">
                  <c:v>43866.677789351852</c:v>
                </c:pt>
                <c:pt idx="35">
                  <c:v>43866.685289351852</c:v>
                </c:pt>
                <c:pt idx="36">
                  <c:v>43866.68546296296</c:v>
                </c:pt>
                <c:pt idx="37">
                  <c:v>43866.685740740744</c:v>
                </c:pt>
                <c:pt idx="38">
                  <c:v>43866.687222222223</c:v>
                </c:pt>
                <c:pt idx="39">
                  <c:v>43866.687673611108</c:v>
                </c:pt>
                <c:pt idx="40">
                  <c:v>43866.691874999997</c:v>
                </c:pt>
                <c:pt idx="41">
                  <c:v>43866.695023148146</c:v>
                </c:pt>
                <c:pt idx="42">
                  <c:v>43866.695370370369</c:v>
                </c:pt>
                <c:pt idx="43">
                  <c:v>43866.695891203701</c:v>
                </c:pt>
                <c:pt idx="44">
                  <c:v>43867.646678240744</c:v>
                </c:pt>
                <c:pt idx="45">
                  <c:v>43867.647905092592</c:v>
                </c:pt>
                <c:pt idx="46">
                  <c:v>43867.648125</c:v>
                </c:pt>
                <c:pt idx="47">
                  <c:v>43867.648865740739</c:v>
                </c:pt>
                <c:pt idx="48">
                  <c:v>43867.651053240741</c:v>
                </c:pt>
                <c:pt idx="49">
                  <c:v>43867.653310185182</c:v>
                </c:pt>
                <c:pt idx="50">
                  <c:v>43867.654166666667</c:v>
                </c:pt>
                <c:pt idx="51">
                  <c:v>43867.658009259256</c:v>
                </c:pt>
                <c:pt idx="52">
                  <c:v>43867.66</c:v>
                </c:pt>
                <c:pt idx="53">
                  <c:v>43867.660590277781</c:v>
                </c:pt>
                <c:pt idx="54">
                  <c:v>43867.660717592589</c:v>
                </c:pt>
                <c:pt idx="55">
                  <c:v>43867.880486111113</c:v>
                </c:pt>
                <c:pt idx="56">
                  <c:v>43868.467789351853</c:v>
                </c:pt>
                <c:pt idx="57">
                  <c:v>43868.470208333332</c:v>
                </c:pt>
                <c:pt idx="58">
                  <c:v>43868.609085648146</c:v>
                </c:pt>
                <c:pt idx="59">
                  <c:v>43871.627708333333</c:v>
                </c:pt>
                <c:pt idx="60">
                  <c:v>43871.630590277775</c:v>
                </c:pt>
                <c:pt idx="61">
                  <c:v>43871.652627314812</c:v>
                </c:pt>
                <c:pt idx="62">
                  <c:v>43871.653321759259</c:v>
                </c:pt>
                <c:pt idx="63">
                  <c:v>43871.654293981483</c:v>
                </c:pt>
                <c:pt idx="64">
                  <c:v>43871.664884259262</c:v>
                </c:pt>
                <c:pt idx="65">
                  <c:v>43871.668749999997</c:v>
                </c:pt>
                <c:pt idx="66">
                  <c:v>43871.669490740744</c:v>
                </c:pt>
                <c:pt idx="67">
                  <c:v>43871.670289351852</c:v>
                </c:pt>
                <c:pt idx="68">
                  <c:v>43871.673344907409</c:v>
                </c:pt>
                <c:pt idx="69">
                  <c:v>43871.675532407404</c:v>
                </c:pt>
                <c:pt idx="70">
                  <c:v>43871.680023148147</c:v>
                </c:pt>
                <c:pt idx="71">
                  <c:v>43871.692812499998</c:v>
                </c:pt>
                <c:pt idx="72">
                  <c:v>43871.700902777775</c:v>
                </c:pt>
                <c:pt idx="73">
                  <c:v>43871.89576388889</c:v>
                </c:pt>
                <c:pt idx="74">
                  <c:v>43871.91207175926</c:v>
                </c:pt>
                <c:pt idx="75">
                  <c:v>43871.912430555552</c:v>
                </c:pt>
                <c:pt idx="76">
                  <c:v>43871.913194444445</c:v>
                </c:pt>
                <c:pt idx="77">
                  <c:v>43871.914259259262</c:v>
                </c:pt>
                <c:pt idx="78">
                  <c:v>43872.646979166668</c:v>
                </c:pt>
                <c:pt idx="79">
                  <c:v>43872.64806712963</c:v>
                </c:pt>
                <c:pt idx="80">
                  <c:v>43872.648819444446</c:v>
                </c:pt>
                <c:pt idx="81">
                  <c:v>43872.649328703701</c:v>
                </c:pt>
                <c:pt idx="82">
                  <c:v>43872.650358796294</c:v>
                </c:pt>
                <c:pt idx="83">
                  <c:v>43872.651006944441</c:v>
                </c:pt>
                <c:pt idx="84">
                  <c:v>43872.732592592591</c:v>
                </c:pt>
                <c:pt idx="85">
                  <c:v>43872.733402777776</c:v>
                </c:pt>
                <c:pt idx="86">
                  <c:v>43872.734375</c:v>
                </c:pt>
                <c:pt idx="87">
                  <c:v>43872.848819444444</c:v>
                </c:pt>
                <c:pt idx="88">
                  <c:v>43872.851134259261</c:v>
                </c:pt>
                <c:pt idx="89">
                  <c:v>43872.878333333334</c:v>
                </c:pt>
                <c:pt idx="90">
                  <c:v>43872.881354166668</c:v>
                </c:pt>
                <c:pt idx="91">
                  <c:v>43872.882106481484</c:v>
                </c:pt>
                <c:pt idx="92">
                  <c:v>43873.478587962964</c:v>
                </c:pt>
                <c:pt idx="93">
                  <c:v>43873.483391203707</c:v>
                </c:pt>
                <c:pt idx="94">
                  <c:v>43873.682187500002</c:v>
                </c:pt>
                <c:pt idx="95">
                  <c:v>43873.683125000003</c:v>
                </c:pt>
                <c:pt idx="96">
                  <c:v>43873.683425925927</c:v>
                </c:pt>
                <c:pt idx="97">
                  <c:v>43873.688703703701</c:v>
                </c:pt>
                <c:pt idx="98">
                  <c:v>43874.650868055556</c:v>
                </c:pt>
                <c:pt idx="99">
                  <c:v>43874.657638888886</c:v>
                </c:pt>
                <c:pt idx="100">
                  <c:v>43874.658379629633</c:v>
                </c:pt>
                <c:pt idx="101">
                  <c:v>43874.665358796294</c:v>
                </c:pt>
                <c:pt idx="102">
                  <c:v>43874.677800925929</c:v>
                </c:pt>
                <c:pt idx="103">
                  <c:v>43874.679166666669</c:v>
                </c:pt>
                <c:pt idx="104">
                  <c:v>43874.680613425924</c:v>
                </c:pt>
                <c:pt idx="105">
                  <c:v>43874.684189814812</c:v>
                </c:pt>
                <c:pt idx="106">
                  <c:v>43874.685486111113</c:v>
                </c:pt>
                <c:pt idx="107">
                  <c:v>43874.701574074075</c:v>
                </c:pt>
                <c:pt idx="108">
                  <c:v>43874.701782407406</c:v>
                </c:pt>
                <c:pt idx="109">
                  <c:v>43874.702731481484</c:v>
                </c:pt>
                <c:pt idx="110">
                  <c:v>43874.703472222223</c:v>
                </c:pt>
                <c:pt idx="111">
                  <c:v>43874.70784722222</c:v>
                </c:pt>
                <c:pt idx="112">
                  <c:v>43874.713078703702</c:v>
                </c:pt>
                <c:pt idx="113">
                  <c:v>43874.725972222222</c:v>
                </c:pt>
                <c:pt idx="114">
                  <c:v>43874.727881944447</c:v>
                </c:pt>
                <c:pt idx="115">
                  <c:v>43874.730983796297</c:v>
                </c:pt>
                <c:pt idx="116">
                  <c:v>43874.763055555559</c:v>
                </c:pt>
                <c:pt idx="117">
                  <c:v>43875.390983796293</c:v>
                </c:pt>
                <c:pt idx="118">
                  <c:v>43875.416666666664</c:v>
                </c:pt>
                <c:pt idx="119">
                  <c:v>43875.418043981481</c:v>
                </c:pt>
                <c:pt idx="120">
                  <c:v>43875.421666666669</c:v>
                </c:pt>
                <c:pt idx="121">
                  <c:v>43875.431342592594</c:v>
                </c:pt>
                <c:pt idx="122">
                  <c:v>43875.459444444445</c:v>
                </c:pt>
                <c:pt idx="123">
                  <c:v>43875.650879629633</c:v>
                </c:pt>
                <c:pt idx="124">
                  <c:v>43875.651782407411</c:v>
                </c:pt>
                <c:pt idx="125">
                  <c:v>43875.664421296293</c:v>
                </c:pt>
                <c:pt idx="126">
                  <c:v>43875.675023148149</c:v>
                </c:pt>
                <c:pt idx="127">
                  <c:v>43875.675856481481</c:v>
                </c:pt>
                <c:pt idx="128">
                  <c:v>43875.678159722222</c:v>
                </c:pt>
                <c:pt idx="129">
                  <c:v>43875.703009259261</c:v>
                </c:pt>
                <c:pt idx="130">
                  <c:v>43875.705821759257</c:v>
                </c:pt>
                <c:pt idx="131">
                  <c:v>43875.708831018521</c:v>
                </c:pt>
                <c:pt idx="132">
                  <c:v>43875.712997685187</c:v>
                </c:pt>
                <c:pt idx="133">
                  <c:v>43875.71607638889</c:v>
                </c:pt>
                <c:pt idx="134">
                  <c:v>43875.744652777779</c:v>
                </c:pt>
                <c:pt idx="135">
                  <c:v>43875.746331018519</c:v>
                </c:pt>
                <c:pt idx="136">
                  <c:v>43875.755694444444</c:v>
                </c:pt>
                <c:pt idx="137">
                  <c:v>43875.761574074073</c:v>
                </c:pt>
                <c:pt idx="138">
                  <c:v>43875.774872685186</c:v>
                </c:pt>
                <c:pt idx="139">
                  <c:v>43875.780624999999</c:v>
                </c:pt>
                <c:pt idx="140">
                  <c:v>43875.783773148149</c:v>
                </c:pt>
                <c:pt idx="141">
                  <c:v>43875.805428240739</c:v>
                </c:pt>
                <c:pt idx="142">
                  <c:v>43875.829016203701</c:v>
                </c:pt>
                <c:pt idx="143">
                  <c:v>43875.901701388888</c:v>
                </c:pt>
                <c:pt idx="144">
                  <c:v>43878.422372685185</c:v>
                </c:pt>
                <c:pt idx="145">
                  <c:v>43879.671631944446</c:v>
                </c:pt>
                <c:pt idx="146">
                  <c:v>43879.691006944442</c:v>
                </c:pt>
                <c:pt idx="147">
                  <c:v>43879.693668981483</c:v>
                </c:pt>
                <c:pt idx="148">
                  <c:v>43879.728020833332</c:v>
                </c:pt>
                <c:pt idx="149">
                  <c:v>43879.728113425925</c:v>
                </c:pt>
                <c:pt idx="150">
                  <c:v>43879.736400462964</c:v>
                </c:pt>
                <c:pt idx="151">
                  <c:v>43879.743391203701</c:v>
                </c:pt>
                <c:pt idx="152">
                  <c:v>43879.74763888889</c:v>
                </c:pt>
                <c:pt idx="153">
                  <c:v>43879.751585648148</c:v>
                </c:pt>
                <c:pt idx="154">
                  <c:v>43880</c:v>
                </c:pt>
                <c:pt idx="155">
                  <c:v>43881.628252314818</c:v>
                </c:pt>
                <c:pt idx="156">
                  <c:v>43881.757106481484</c:v>
                </c:pt>
              </c:numCache>
            </c:numRef>
          </c:cat>
          <c:val>
            <c:numRef>
              <c:f>[0]!Plage_variable_equite_fin_j</c:f>
              <c:numCache>
                <c:formatCode>_-* #\ ##0.00\ [$€-40C]_-;\-* #\ ##0.00\ [$€-40C]_-;_-* "-"??\ [$€-40C]_-;_-@_-</c:formatCode>
                <c:ptCount val="157"/>
                <c:pt idx="0">
                  <c:v>#N/A</c:v>
                </c:pt>
                <c:pt idx="1">
                  <c:v>#N/A</c:v>
                </c:pt>
                <c:pt idx="2">
                  <c:v>#N/A</c:v>
                </c:pt>
                <c:pt idx="3">
                  <c:v>#N/A</c:v>
                </c:pt>
                <c:pt idx="4">
                  <c:v>1010.03</c:v>
                </c:pt>
                <c:pt idx="5">
                  <c:v>#N/A</c:v>
                </c:pt>
                <c:pt idx="6">
                  <c:v>#N/A</c:v>
                </c:pt>
                <c:pt idx="7">
                  <c:v>#N/A</c:v>
                </c:pt>
                <c:pt idx="8">
                  <c:v>#N/A</c:v>
                </c:pt>
                <c:pt idx="9">
                  <c:v>#N/A</c:v>
                </c:pt>
                <c:pt idx="10">
                  <c:v>#N/A</c:v>
                </c:pt>
                <c:pt idx="11">
                  <c:v>#N/A</c:v>
                </c:pt>
                <c:pt idx="12">
                  <c:v>#N/A</c:v>
                </c:pt>
                <c:pt idx="13">
                  <c:v>#N/A</c:v>
                </c:pt>
                <c:pt idx="14">
                  <c:v>#N/A</c:v>
                </c:pt>
                <c:pt idx="15">
                  <c:v>#N/A</c:v>
                </c:pt>
                <c:pt idx="16">
                  <c:v>#N/A</c:v>
                </c:pt>
                <c:pt idx="17">
                  <c:v>#N/A</c:v>
                </c:pt>
                <c:pt idx="18">
                  <c:v>#N/A</c:v>
                </c:pt>
                <c:pt idx="19">
                  <c:v>#N/A</c:v>
                </c:pt>
                <c:pt idx="20">
                  <c:v>#N/A</c:v>
                </c:pt>
                <c:pt idx="21">
                  <c:v>#N/A</c:v>
                </c:pt>
                <c:pt idx="22">
                  <c:v>#N/A</c:v>
                </c:pt>
                <c:pt idx="23">
                  <c:v>1011.88</c:v>
                </c:pt>
                <c:pt idx="24">
                  <c:v>#N/A</c:v>
                </c:pt>
                <c:pt idx="25">
                  <c:v>#N/A</c:v>
                </c:pt>
                <c:pt idx="26">
                  <c:v>#N/A</c:v>
                </c:pt>
                <c:pt idx="27">
                  <c:v>#N/A</c:v>
                </c:pt>
                <c:pt idx="28">
                  <c:v>#N/A</c:v>
                </c:pt>
                <c:pt idx="29">
                  <c:v>#N/A</c:v>
                </c:pt>
                <c:pt idx="30">
                  <c:v>#N/A</c:v>
                </c:pt>
                <c:pt idx="31">
                  <c:v>#N/A</c:v>
                </c:pt>
                <c:pt idx="32">
                  <c:v>#N/A</c:v>
                </c:pt>
                <c:pt idx="33">
                  <c:v>#N/A</c:v>
                </c:pt>
                <c:pt idx="34">
                  <c:v>#N/A</c:v>
                </c:pt>
                <c:pt idx="35">
                  <c:v>#N/A</c:v>
                </c:pt>
                <c:pt idx="36">
                  <c:v>#N/A</c:v>
                </c:pt>
                <c:pt idx="37">
                  <c:v>#N/A</c:v>
                </c:pt>
                <c:pt idx="38">
                  <c:v>#N/A</c:v>
                </c:pt>
                <c:pt idx="39">
                  <c:v>#N/A</c:v>
                </c:pt>
                <c:pt idx="40">
                  <c:v>#N/A</c:v>
                </c:pt>
                <c:pt idx="41">
                  <c:v>#N/A</c:v>
                </c:pt>
                <c:pt idx="42">
                  <c:v>#N/A</c:v>
                </c:pt>
                <c:pt idx="43">
                  <c:v>1017.63</c:v>
                </c:pt>
                <c:pt idx="44">
                  <c:v>#N/A</c:v>
                </c:pt>
                <c:pt idx="45">
                  <c:v>#N/A</c:v>
                </c:pt>
                <c:pt idx="46">
                  <c:v>#N/A</c:v>
                </c:pt>
                <c:pt idx="47">
                  <c:v>#N/A</c:v>
                </c:pt>
                <c:pt idx="48">
                  <c:v>#N/A</c:v>
                </c:pt>
                <c:pt idx="49">
                  <c:v>#N/A</c:v>
                </c:pt>
                <c:pt idx="50">
                  <c:v>#N/A</c:v>
                </c:pt>
                <c:pt idx="51">
                  <c:v>#N/A</c:v>
                </c:pt>
                <c:pt idx="52">
                  <c:v>#N/A</c:v>
                </c:pt>
                <c:pt idx="53">
                  <c:v>#N/A</c:v>
                </c:pt>
                <c:pt idx="54">
                  <c:v>#N/A</c:v>
                </c:pt>
                <c:pt idx="55">
                  <c:v>1032.94</c:v>
                </c:pt>
                <c:pt idx="56">
                  <c:v>#N/A</c:v>
                </c:pt>
                <c:pt idx="57">
                  <c:v>#N/A</c:v>
                </c:pt>
                <c:pt idx="58">
                  <c:v>1047.8900000000001</c:v>
                </c:pt>
                <c:pt idx="59">
                  <c:v>#N/A</c:v>
                </c:pt>
                <c:pt idx="60">
                  <c:v>#N/A</c:v>
                </c:pt>
                <c:pt idx="61">
                  <c:v>#N/A</c:v>
                </c:pt>
                <c:pt idx="62">
                  <c:v>#N/A</c:v>
                </c:pt>
                <c:pt idx="63">
                  <c:v>#N/A</c:v>
                </c:pt>
                <c:pt idx="64">
                  <c:v>#N/A</c:v>
                </c:pt>
                <c:pt idx="65">
                  <c:v>#N/A</c:v>
                </c:pt>
                <c:pt idx="66">
                  <c:v>#N/A</c:v>
                </c:pt>
                <c:pt idx="67">
                  <c:v>#N/A</c:v>
                </c:pt>
                <c:pt idx="68">
                  <c:v>#N/A</c:v>
                </c:pt>
                <c:pt idx="69">
                  <c:v>#N/A</c:v>
                </c:pt>
                <c:pt idx="70">
                  <c:v>#N/A</c:v>
                </c:pt>
                <c:pt idx="71">
                  <c:v>#N/A</c:v>
                </c:pt>
                <c:pt idx="72">
                  <c:v>#N/A</c:v>
                </c:pt>
                <c:pt idx="73">
                  <c:v>#N/A</c:v>
                </c:pt>
                <c:pt idx="74">
                  <c:v>#N/A</c:v>
                </c:pt>
                <c:pt idx="75">
                  <c:v>#N/A</c:v>
                </c:pt>
                <c:pt idx="76">
                  <c:v>#N/A</c:v>
                </c:pt>
                <c:pt idx="77">
                  <c:v>984.33</c:v>
                </c:pt>
                <c:pt idx="78">
                  <c:v>#N/A</c:v>
                </c:pt>
                <c:pt idx="79">
                  <c:v>#N/A</c:v>
                </c:pt>
                <c:pt idx="80">
                  <c:v>#N/A</c:v>
                </c:pt>
                <c:pt idx="81">
                  <c:v>#N/A</c:v>
                </c:pt>
                <c:pt idx="82">
                  <c:v>#N/A</c:v>
                </c:pt>
                <c:pt idx="83">
                  <c:v>#N/A</c:v>
                </c:pt>
                <c:pt idx="84">
                  <c:v>#N/A</c:v>
                </c:pt>
                <c:pt idx="85">
                  <c:v>#N/A</c:v>
                </c:pt>
                <c:pt idx="86">
                  <c:v>#N/A</c:v>
                </c:pt>
                <c:pt idx="87">
                  <c:v>#N/A</c:v>
                </c:pt>
                <c:pt idx="88">
                  <c:v>#N/A</c:v>
                </c:pt>
                <c:pt idx="89">
                  <c:v>#N/A</c:v>
                </c:pt>
                <c:pt idx="90">
                  <c:v>#N/A</c:v>
                </c:pt>
                <c:pt idx="91">
                  <c:v>921.11</c:v>
                </c:pt>
                <c:pt idx="92">
                  <c:v>#N/A</c:v>
                </c:pt>
                <c:pt idx="93">
                  <c:v>#N/A</c:v>
                </c:pt>
                <c:pt idx="94">
                  <c:v>#N/A</c:v>
                </c:pt>
                <c:pt idx="95">
                  <c:v>#N/A</c:v>
                </c:pt>
                <c:pt idx="96">
                  <c:v>#N/A</c:v>
                </c:pt>
                <c:pt idx="97">
                  <c:v>920.68000000000006</c:v>
                </c:pt>
                <c:pt idx="98">
                  <c:v>#N/A</c:v>
                </c:pt>
                <c:pt idx="99">
                  <c:v>#N/A</c:v>
                </c:pt>
                <c:pt idx="100">
                  <c:v>#N/A</c:v>
                </c:pt>
                <c:pt idx="101">
                  <c:v>#N/A</c:v>
                </c:pt>
                <c:pt idx="102">
                  <c:v>#N/A</c:v>
                </c:pt>
                <c:pt idx="103">
                  <c:v>#N/A</c:v>
                </c:pt>
                <c:pt idx="104">
                  <c:v>#N/A</c:v>
                </c:pt>
                <c:pt idx="105">
                  <c:v>#N/A</c:v>
                </c:pt>
                <c:pt idx="106">
                  <c:v>#N/A</c:v>
                </c:pt>
                <c:pt idx="107">
                  <c:v>#N/A</c:v>
                </c:pt>
                <c:pt idx="108">
                  <c:v>#N/A</c:v>
                </c:pt>
                <c:pt idx="109">
                  <c:v>#N/A</c:v>
                </c:pt>
                <c:pt idx="110">
                  <c:v>#N/A</c:v>
                </c:pt>
                <c:pt idx="111">
                  <c:v>#N/A</c:v>
                </c:pt>
                <c:pt idx="112">
                  <c:v>#N/A</c:v>
                </c:pt>
                <c:pt idx="113">
                  <c:v>#N/A</c:v>
                </c:pt>
                <c:pt idx="114">
                  <c:v>#N/A</c:v>
                </c:pt>
                <c:pt idx="115">
                  <c:v>#N/A</c:v>
                </c:pt>
                <c:pt idx="116">
                  <c:v>867.85</c:v>
                </c:pt>
                <c:pt idx="117">
                  <c:v>#N/A</c:v>
                </c:pt>
                <c:pt idx="118">
                  <c:v>#N/A</c:v>
                </c:pt>
                <c:pt idx="119">
                  <c:v>#N/A</c:v>
                </c:pt>
                <c:pt idx="120">
                  <c:v>#N/A</c:v>
                </c:pt>
                <c:pt idx="121">
                  <c:v>#N/A</c:v>
                </c:pt>
                <c:pt idx="122">
                  <c:v>#N/A</c:v>
                </c:pt>
                <c:pt idx="123">
                  <c:v>#N/A</c:v>
                </c:pt>
                <c:pt idx="124">
                  <c:v>#N/A</c:v>
                </c:pt>
                <c:pt idx="125">
                  <c:v>#N/A</c:v>
                </c:pt>
                <c:pt idx="126">
                  <c:v>#N/A</c:v>
                </c:pt>
                <c:pt idx="127">
                  <c:v>#N/A</c:v>
                </c:pt>
                <c:pt idx="128">
                  <c:v>#N/A</c:v>
                </c:pt>
                <c:pt idx="129">
                  <c:v>#N/A</c:v>
                </c:pt>
                <c:pt idx="130">
                  <c:v>#N/A</c:v>
                </c:pt>
                <c:pt idx="131">
                  <c:v>#N/A</c:v>
                </c:pt>
                <c:pt idx="132">
                  <c:v>#N/A</c:v>
                </c:pt>
                <c:pt idx="133">
                  <c:v>#N/A</c:v>
                </c:pt>
                <c:pt idx="134">
                  <c:v>#N/A</c:v>
                </c:pt>
                <c:pt idx="135">
                  <c:v>#N/A</c:v>
                </c:pt>
                <c:pt idx="136">
                  <c:v>#N/A</c:v>
                </c:pt>
                <c:pt idx="137">
                  <c:v>#N/A</c:v>
                </c:pt>
                <c:pt idx="138">
                  <c:v>#N/A</c:v>
                </c:pt>
                <c:pt idx="139">
                  <c:v>#N/A</c:v>
                </c:pt>
                <c:pt idx="140">
                  <c:v>#N/A</c:v>
                </c:pt>
                <c:pt idx="141">
                  <c:v>#N/A</c:v>
                </c:pt>
                <c:pt idx="142">
                  <c:v>775.01</c:v>
                </c:pt>
                <c:pt idx="143">
                  <c:v>#N/A</c:v>
                </c:pt>
                <c:pt idx="144">
                  <c:v>817.34</c:v>
                </c:pt>
                <c:pt idx="145">
                  <c:v>#N/A</c:v>
                </c:pt>
                <c:pt idx="146">
                  <c:v>#N/A</c:v>
                </c:pt>
                <c:pt idx="147">
                  <c:v>#N/A</c:v>
                </c:pt>
                <c:pt idx="148">
                  <c:v>#N/A</c:v>
                </c:pt>
                <c:pt idx="149">
                  <c:v>#N/A</c:v>
                </c:pt>
                <c:pt idx="150">
                  <c:v>#N/A</c:v>
                </c:pt>
                <c:pt idx="151">
                  <c:v>#N/A</c:v>
                </c:pt>
                <c:pt idx="152">
                  <c:v>#N/A</c:v>
                </c:pt>
                <c:pt idx="153">
                  <c:v>831.72</c:v>
                </c:pt>
                <c:pt idx="154">
                  <c:v>831.72</c:v>
                </c:pt>
                <c:pt idx="155">
                  <c:v>#N/A</c:v>
                </c:pt>
                <c:pt idx="156">
                  <c:v>855.32</c:v>
                </c:pt>
              </c:numCache>
            </c:numRef>
          </c:val>
          <c:extLst>
            <c:ext xmlns:c16="http://schemas.microsoft.com/office/drawing/2014/chart" uri="{C3380CC4-5D6E-409C-BE32-E72D297353CC}">
              <c16:uniqueId val="{00000001-8B23-4DE9-986D-CC7A96E7DA89}"/>
            </c:ext>
          </c:extLst>
        </c:ser>
        <c:dLbls>
          <c:showLegendKey val="0"/>
          <c:showVal val="0"/>
          <c:showCatName val="0"/>
          <c:showSerName val="0"/>
          <c:showPercent val="0"/>
          <c:showBubbleSize val="0"/>
        </c:dLbls>
        <c:gapWidth val="150"/>
        <c:axId val="1030809552"/>
        <c:axId val="1112362256"/>
      </c:barChart>
      <c:dateAx>
        <c:axId val="1030809552"/>
        <c:scaling>
          <c:orientation val="minMax"/>
        </c:scaling>
        <c:delete val="0"/>
        <c:axPos val="b"/>
        <c:minorGridlines>
          <c:spPr>
            <a:ln w="9525" cap="flat" cmpd="sng" algn="ctr">
              <a:solidFill>
                <a:schemeClr val="tx1">
                  <a:lumMod val="5000"/>
                  <a:lumOff val="95000"/>
                </a:schemeClr>
              </a:solidFill>
              <a:round/>
            </a:ln>
            <a:effectLst/>
          </c:spPr>
        </c:minorGridlines>
        <c:numFmt formatCode="m/d/yyyy" sourceLinked="0"/>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crossAx val="1112362256"/>
        <c:crosses val="autoZero"/>
        <c:auto val="1"/>
        <c:lblOffset val="100"/>
        <c:baseTimeUnit val="days"/>
        <c:majorUnit val="1"/>
      </c:dateAx>
      <c:valAx>
        <c:axId val="1112362256"/>
        <c:scaling>
          <c:orientation val="minMax"/>
        </c:scaling>
        <c:delete val="0"/>
        <c:axPos val="l"/>
        <c:majorGridlines>
          <c:spPr>
            <a:ln w="9525" cap="flat" cmpd="sng" algn="ctr">
              <a:solidFill>
                <a:schemeClr val="tx1">
                  <a:lumMod val="15000"/>
                  <a:lumOff val="85000"/>
                </a:schemeClr>
              </a:solidFill>
              <a:round/>
            </a:ln>
            <a:effectLst/>
          </c:spPr>
        </c:majorGridlines>
        <c:numFmt formatCode="_-* #\ ##0.00\ [$€-40C]_-;\-* #\ ##0.00\ [$€-40C]_-;_-* &quot;-&quot;??\ [$€-40C]_-;_-@_-"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crossAx val="1030809552"/>
        <c:crosses val="autoZero"/>
        <c:crossBetween val="between"/>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fr-FR"/>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200" b="0" i="0" u="none" strike="noStrike" kern="1200" cap="none" spc="150" baseline="0">
                <a:solidFill>
                  <a:schemeClr val="tx1">
                    <a:lumMod val="50000"/>
                    <a:lumOff val="50000"/>
                  </a:schemeClr>
                </a:solidFill>
                <a:latin typeface="Cambria" panose="02040503050406030204" pitchFamily="18" charset="0"/>
                <a:ea typeface="+mn-ea"/>
                <a:cs typeface="+mn-cs"/>
              </a:defRPr>
            </a:pPr>
            <a:r>
              <a:rPr lang="fr-FR" sz="1200" b="0" cap="none" baseline="0">
                <a:latin typeface="Cambria" panose="02040503050406030204" pitchFamily="18" charset="0"/>
              </a:rPr>
              <a:t>Ratio gagnant perdant</a:t>
            </a:r>
          </a:p>
        </c:rich>
      </c:tx>
      <c:overlay val="0"/>
      <c:spPr>
        <a:noFill/>
        <a:ln>
          <a:noFill/>
        </a:ln>
        <a:effectLst/>
      </c:spPr>
      <c:txPr>
        <a:bodyPr rot="0" spcFirstLastPara="1" vertOverflow="ellipsis" vert="horz" wrap="square" anchor="ctr" anchorCtr="1"/>
        <a:lstStyle/>
        <a:p>
          <a:pPr>
            <a:defRPr sz="1200" b="0" i="0" u="none" strike="noStrike" kern="1200" cap="none" spc="150" baseline="0">
              <a:solidFill>
                <a:schemeClr val="tx1">
                  <a:lumMod val="50000"/>
                  <a:lumOff val="50000"/>
                </a:schemeClr>
              </a:solidFill>
              <a:latin typeface="Cambria" panose="02040503050406030204" pitchFamily="18" charset="0"/>
              <a:ea typeface="+mn-ea"/>
              <a:cs typeface="+mn-cs"/>
            </a:defRPr>
          </a:pPr>
          <a:endParaRPr lang="fr-FR"/>
        </a:p>
      </c:txPr>
    </c:title>
    <c:autoTitleDeleted val="0"/>
    <c:plotArea>
      <c:layout>
        <c:manualLayout>
          <c:layoutTarget val="inner"/>
          <c:xMode val="edge"/>
          <c:yMode val="edge"/>
          <c:x val="0.211172619047619"/>
          <c:y val="0.24517361111111111"/>
          <c:w val="0.64317063492063498"/>
          <c:h val="0.75036574074074081"/>
        </c:manualLayout>
      </c:layout>
      <c:doughnutChart>
        <c:varyColors val="1"/>
        <c:ser>
          <c:idx val="0"/>
          <c:order val="0"/>
          <c:explosion val="3"/>
          <c:dPt>
            <c:idx val="0"/>
            <c:bubble3D val="0"/>
            <c:spPr>
              <a:pattFill prst="ltUpDiag">
                <a:fgClr>
                  <a:schemeClr val="accent1"/>
                </a:fgClr>
                <a:bgClr>
                  <a:schemeClr val="accent1">
                    <a:lumMod val="20000"/>
                    <a:lumOff val="80000"/>
                  </a:schemeClr>
                </a:bgClr>
              </a:pattFill>
              <a:ln w="19050">
                <a:solidFill>
                  <a:schemeClr val="lt1"/>
                </a:solidFill>
              </a:ln>
              <a:effectLst>
                <a:innerShdw blurRad="114300">
                  <a:schemeClr val="accent1"/>
                </a:innerShdw>
              </a:effectLst>
            </c:spPr>
            <c:extLst>
              <c:ext xmlns:c16="http://schemas.microsoft.com/office/drawing/2014/chart" uri="{C3380CC4-5D6E-409C-BE32-E72D297353CC}">
                <c16:uniqueId val="{00000001-B3C7-44E7-AEDB-C7F5E724DC29}"/>
              </c:ext>
            </c:extLst>
          </c:dPt>
          <c:dPt>
            <c:idx val="1"/>
            <c:bubble3D val="0"/>
            <c:spPr>
              <a:pattFill prst="ltUpDiag">
                <a:fgClr>
                  <a:schemeClr val="accent2"/>
                </a:fgClr>
                <a:bgClr>
                  <a:schemeClr val="accent2">
                    <a:lumMod val="20000"/>
                    <a:lumOff val="80000"/>
                  </a:schemeClr>
                </a:bgClr>
              </a:pattFill>
              <a:ln w="19050">
                <a:solidFill>
                  <a:schemeClr val="lt1"/>
                </a:solidFill>
              </a:ln>
              <a:effectLst>
                <a:innerShdw blurRad="114300">
                  <a:schemeClr val="accent2"/>
                </a:innerShdw>
              </a:effectLst>
            </c:spPr>
            <c:extLst>
              <c:ext xmlns:c16="http://schemas.microsoft.com/office/drawing/2014/chart" uri="{C3380CC4-5D6E-409C-BE32-E72D297353CC}">
                <c16:uniqueId val="{00000003-B3C7-44E7-AEDB-C7F5E724DC29}"/>
              </c:ext>
            </c:extLst>
          </c:dPt>
          <c:dLbls>
            <c:numFmt formatCode="0%;&quot;&quot;;&quot;&quot;" sourceLinked="0"/>
            <c:spPr>
              <a:noFill/>
              <a:ln>
                <a:noFill/>
              </a:ln>
              <a:effectLst/>
            </c:spPr>
            <c:txPr>
              <a:bodyPr rot="0" spcFirstLastPara="1" vertOverflow="ellipsis" vert="horz" wrap="square" lIns="38100" tIns="19050" rIns="38100" bIns="19050" anchor="ctr" anchorCtr="1">
                <a:spAutoFit/>
              </a:bodyPr>
              <a:lstStyle/>
              <a:p>
                <a:pPr>
                  <a:defRPr sz="1200" b="0" i="0" u="none" strike="noStrike" kern="1200" baseline="0">
                    <a:solidFill>
                      <a:schemeClr val="tx1">
                        <a:lumMod val="75000"/>
                        <a:lumOff val="25000"/>
                      </a:schemeClr>
                    </a:solidFill>
                    <a:latin typeface="+mj-lt"/>
                    <a:ea typeface="+mn-ea"/>
                    <a:cs typeface="+mn-cs"/>
                  </a:defRPr>
                </a:pPr>
                <a:endParaRPr lang="fr-FR"/>
              </a:p>
            </c:txPr>
            <c:showLegendKey val="0"/>
            <c:showVal val="1"/>
            <c:showCatName val="0"/>
            <c:showSerName val="0"/>
            <c:showPercent val="0"/>
            <c:showBubbleSize val="0"/>
            <c:showLeaderLines val="1"/>
            <c:leaderLines>
              <c:spPr>
                <a:ln w="9525">
                  <a:solidFill>
                    <a:schemeClr val="tx1">
                      <a:lumMod val="35000"/>
                      <a:lumOff val="65000"/>
                    </a:schemeClr>
                  </a:solidFill>
                </a:ln>
                <a:effectLst/>
              </c:spPr>
            </c:leaderLines>
            <c:extLst>
              <c:ext xmlns:c15="http://schemas.microsoft.com/office/drawing/2012/chart" uri="{CE6537A1-D6FC-4f65-9D91-7224C49458BB}"/>
            </c:extLst>
          </c:dLbls>
          <c:cat>
            <c:strRef>
              <c:f>'Général - Ratio Gagnant perdant'!$A$14:$A$15</c:f>
              <c:strCache>
                <c:ptCount val="2"/>
                <c:pt idx="0">
                  <c:v>Gagnant</c:v>
                </c:pt>
                <c:pt idx="1">
                  <c:v>Perdant</c:v>
                </c:pt>
              </c:strCache>
            </c:strRef>
          </c:cat>
          <c:val>
            <c:numRef>
              <c:f>'Général - Ratio Gagnant perdant'!$B$14:$B$15</c:f>
              <c:numCache>
                <c:formatCode>0%</c:formatCode>
                <c:ptCount val="2"/>
                <c:pt idx="0">
                  <c:v>0.23417721518987342</c:v>
                </c:pt>
                <c:pt idx="1">
                  <c:v>0.75316455696202533</c:v>
                </c:pt>
              </c:numCache>
            </c:numRef>
          </c:val>
          <c:extLst>
            <c:ext xmlns:c16="http://schemas.microsoft.com/office/drawing/2014/chart" uri="{C3380CC4-5D6E-409C-BE32-E72D297353CC}">
              <c16:uniqueId val="{00000004-B3C7-44E7-AEDB-C7F5E724DC29}"/>
            </c:ext>
          </c:extLst>
        </c:ser>
        <c:dLbls>
          <c:showLegendKey val="0"/>
          <c:showVal val="0"/>
          <c:showCatName val="0"/>
          <c:showSerName val="0"/>
          <c:showPercent val="0"/>
          <c:showBubbleSize val="0"/>
          <c:showLeaderLines val="1"/>
        </c:dLbls>
        <c:firstSliceAng val="180"/>
        <c:holeSize val="60"/>
      </c:doughnutChart>
      <c:spPr>
        <a:noFill/>
        <a:ln>
          <a:noFill/>
        </a:ln>
        <a:effectLst/>
      </c:spPr>
    </c:plotArea>
    <c:legend>
      <c:legendPos val="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noFill/>
    <a:ln w="9525" cap="flat" cmpd="sng" algn="ctr">
      <a:noFill/>
      <a:round/>
    </a:ln>
    <a:effectLst/>
  </c:spPr>
  <c:txPr>
    <a:bodyPr/>
    <a:lstStyle/>
    <a:p>
      <a:pPr>
        <a:defRPr/>
      </a:pPr>
      <a:endParaRPr lang="fr-FR"/>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pivotSource>
    <c:name>[Journal V0.5.8.xlsm]Général Tableau des conformités!Tableau croisé dynamique1</c:name>
    <c:fmtId val="7"/>
  </c:pivotSource>
  <c:chart>
    <c:title>
      <c:tx>
        <c:rich>
          <a:bodyPr rot="0" spcFirstLastPara="1" vertOverflow="ellipsis" vert="horz" wrap="square" anchor="ctr" anchorCtr="1"/>
          <a:lstStyle/>
          <a:p>
            <a:pPr>
              <a:defRPr sz="1200" b="0" i="0" u="none" strike="noStrike" kern="1200" cap="none" spc="0" normalizeH="0" baseline="0">
                <a:solidFill>
                  <a:schemeClr val="dk1">
                    <a:lumMod val="50000"/>
                    <a:lumOff val="50000"/>
                  </a:schemeClr>
                </a:solidFill>
                <a:latin typeface="Cambria" panose="02040503050406030204" pitchFamily="18" charset="0"/>
                <a:ea typeface="+mj-ea"/>
                <a:cs typeface="+mj-cs"/>
              </a:defRPr>
            </a:pPr>
            <a:r>
              <a:rPr lang="fr-FR" sz="1200" b="0" baseline="0">
                <a:latin typeface="Cambria" panose="02040503050406030204" pitchFamily="18" charset="0"/>
              </a:rPr>
              <a:t>Conformités</a:t>
            </a:r>
          </a:p>
        </c:rich>
      </c:tx>
      <c:overlay val="0"/>
      <c:spPr>
        <a:noFill/>
        <a:ln>
          <a:noFill/>
        </a:ln>
        <a:effectLst/>
      </c:spPr>
      <c:txPr>
        <a:bodyPr rot="0" spcFirstLastPara="1" vertOverflow="ellipsis" vert="horz" wrap="square" anchor="ctr" anchorCtr="1"/>
        <a:lstStyle/>
        <a:p>
          <a:pPr>
            <a:defRPr sz="1200" b="0" i="0" u="none" strike="noStrike" kern="1200" cap="none" spc="0" normalizeH="0" baseline="0">
              <a:solidFill>
                <a:schemeClr val="dk1">
                  <a:lumMod val="50000"/>
                  <a:lumOff val="50000"/>
                </a:schemeClr>
              </a:solidFill>
              <a:latin typeface="Cambria" panose="02040503050406030204" pitchFamily="18" charset="0"/>
              <a:ea typeface="+mj-ea"/>
              <a:cs typeface="+mj-cs"/>
            </a:defRPr>
          </a:pPr>
          <a:endParaRPr lang="fr-FR"/>
        </a:p>
      </c:txPr>
    </c:title>
    <c:autoTitleDeleted val="0"/>
    <c:pivotFmts>
      <c:pivotFmt>
        <c:idx val="0"/>
        <c:dLbl>
          <c:idx val="0"/>
          <c:showLegendKey val="0"/>
          <c:showVal val="0"/>
          <c:showCatName val="0"/>
          <c:showSerName val="0"/>
          <c:showPercent val="0"/>
          <c:showBubbleSize val="0"/>
          <c:extLst>
            <c:ext xmlns:c15="http://schemas.microsoft.com/office/drawing/2012/chart" uri="{CE6537A1-D6FC-4f65-9D91-7224C49458BB}"/>
          </c:extLst>
        </c:dLbl>
      </c:pivotFmt>
      <c:pivotFmt>
        <c:idx val="1"/>
        <c:dLbl>
          <c:idx val="0"/>
          <c:showLegendKey val="0"/>
          <c:showVal val="0"/>
          <c:showCatName val="0"/>
          <c:showSerName val="0"/>
          <c:showPercent val="0"/>
          <c:showBubbleSize val="0"/>
          <c:extLst>
            <c:ext xmlns:c15="http://schemas.microsoft.com/office/drawing/2012/chart" uri="{CE6537A1-D6FC-4f65-9D91-7224C49458BB}"/>
          </c:extLst>
        </c:dLbl>
      </c:pivotFmt>
      <c:pivotFmt>
        <c:idx val="2"/>
        <c:dLbl>
          <c:idx val="0"/>
          <c:showLegendKey val="0"/>
          <c:showVal val="0"/>
          <c:showCatName val="0"/>
          <c:showSerName val="0"/>
          <c:showPercent val="0"/>
          <c:showBubbleSize val="0"/>
          <c:extLst>
            <c:ext xmlns:c15="http://schemas.microsoft.com/office/drawing/2012/chart" uri="{CE6537A1-D6FC-4f65-9D91-7224C49458BB}"/>
          </c:extLst>
        </c:dLbl>
      </c:pivotFmt>
      <c:pivotFmt>
        <c:idx val="3"/>
        <c:dLbl>
          <c:idx val="0"/>
          <c:showLegendKey val="0"/>
          <c:showVal val="0"/>
          <c:showCatName val="0"/>
          <c:showSerName val="0"/>
          <c:showPercent val="0"/>
          <c:showBubbleSize val="0"/>
          <c:extLst>
            <c:ext xmlns:c15="http://schemas.microsoft.com/office/drawing/2012/chart" uri="{CE6537A1-D6FC-4f65-9D91-7224C49458BB}"/>
          </c:extLst>
        </c:dLbl>
      </c:pivotFmt>
      <c:pivotFmt>
        <c:idx val="4"/>
        <c:spPr>
          <a:pattFill prst="ltUpDiag">
            <a:fgClr>
              <a:srgbClr val="0070C0"/>
            </a:fgClr>
            <a:bgClr>
              <a:schemeClr val="bg1"/>
            </a:bgClr>
          </a:pattFill>
          <a:ln>
            <a:noFill/>
          </a:ln>
          <a:effectLst>
            <a:innerShdw blurRad="114300">
              <a:srgbClr val="0070C0"/>
            </a:innerShdw>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dk1">
                      <a:lumMod val="75000"/>
                      <a:lumOff val="25000"/>
                    </a:schemeClr>
                  </a:solidFill>
                  <a:latin typeface="+mn-lt"/>
                  <a:ea typeface="+mn-ea"/>
                  <a:cs typeface="+mn-cs"/>
                </a:defRPr>
              </a:pPr>
              <a:endParaRPr lang="fr-FR"/>
            </a:p>
          </c:txPr>
          <c:showLegendKey val="0"/>
          <c:showVal val="1"/>
          <c:showCatName val="0"/>
          <c:showSerName val="0"/>
          <c:showPercent val="0"/>
          <c:showBubbleSize val="0"/>
          <c:extLst>
            <c:ext xmlns:c15="http://schemas.microsoft.com/office/drawing/2012/chart" uri="{CE6537A1-D6FC-4f65-9D91-7224C49458BB}"/>
          </c:extLst>
        </c:dLbl>
      </c:pivotFmt>
      <c:pivotFmt>
        <c:idx val="5"/>
        <c:spPr>
          <a:pattFill prst="ltUpDiag">
            <a:fgClr>
              <a:srgbClr val="C00000"/>
            </a:fgClr>
            <a:bgClr>
              <a:schemeClr val="bg1"/>
            </a:bgClr>
          </a:pattFill>
          <a:ln>
            <a:noFill/>
          </a:ln>
          <a:effectLst>
            <a:innerShdw blurRad="114300">
              <a:srgbClr val="C00000"/>
            </a:innerShdw>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dk1">
                      <a:lumMod val="75000"/>
                      <a:lumOff val="25000"/>
                    </a:schemeClr>
                  </a:solidFill>
                  <a:latin typeface="+mn-lt"/>
                  <a:ea typeface="+mn-ea"/>
                  <a:cs typeface="+mn-cs"/>
                </a:defRPr>
              </a:pPr>
              <a:endParaRPr lang="fr-FR"/>
            </a:p>
          </c:txPr>
          <c:showLegendKey val="0"/>
          <c:showVal val="1"/>
          <c:showCatName val="0"/>
          <c:showSerName val="0"/>
          <c:showPercent val="0"/>
          <c:showBubbleSize val="0"/>
          <c:extLst>
            <c:ext xmlns:c15="http://schemas.microsoft.com/office/drawing/2012/chart" uri="{CE6537A1-D6FC-4f65-9D91-7224C49458BB}"/>
          </c:extLst>
        </c:dLbl>
      </c:pivotFmt>
      <c:pivotFmt>
        <c:idx val="6"/>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dk1">
                      <a:lumMod val="75000"/>
                      <a:lumOff val="25000"/>
                    </a:schemeClr>
                  </a:solidFill>
                  <a:latin typeface="+mn-lt"/>
                  <a:ea typeface="+mn-ea"/>
                  <a:cs typeface="+mn-cs"/>
                </a:defRPr>
              </a:pPr>
              <a:endParaRPr lang="fr-FR"/>
            </a:p>
          </c:txPr>
          <c:showLegendKey val="0"/>
          <c:showVal val="0"/>
          <c:showCatName val="0"/>
          <c:showSerName val="0"/>
          <c:showPercent val="0"/>
          <c:showBubbleSize val="0"/>
          <c:extLst>
            <c:ext xmlns:c15="http://schemas.microsoft.com/office/drawing/2012/chart" uri="{CE6537A1-D6FC-4f65-9D91-7224C49458BB}"/>
          </c:extLst>
        </c:dLbl>
      </c:pivotFmt>
      <c:pivotFmt>
        <c:idx val="7"/>
        <c:spPr>
          <a:solidFill>
            <a:schemeClr val="accent1"/>
          </a:solidFill>
          <a:ln>
            <a:noFill/>
          </a:ln>
          <a:effectLst/>
        </c:spPr>
        <c:marker>
          <c:symbol val="none"/>
        </c:marker>
      </c:pivotFmt>
      <c:pivotFmt>
        <c:idx val="8"/>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dk1">
                      <a:lumMod val="75000"/>
                      <a:lumOff val="25000"/>
                    </a:schemeClr>
                  </a:solidFill>
                  <a:latin typeface="+mn-lt"/>
                  <a:ea typeface="+mn-ea"/>
                  <a:cs typeface="+mn-cs"/>
                </a:defRPr>
              </a:pPr>
              <a:endParaRPr lang="fr-FR"/>
            </a:p>
          </c:txPr>
          <c:showLegendKey val="0"/>
          <c:showVal val="0"/>
          <c:showCatName val="0"/>
          <c:showSerName val="0"/>
          <c:showPercent val="0"/>
          <c:showBubbleSize val="0"/>
          <c:extLst>
            <c:ext xmlns:c15="http://schemas.microsoft.com/office/drawing/2012/chart" uri="{CE6537A1-D6FC-4f65-9D91-7224C49458BB}"/>
          </c:extLst>
        </c:dLbl>
      </c:pivotFmt>
      <c:pivotFmt>
        <c:idx val="9"/>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dk1">
                      <a:lumMod val="75000"/>
                      <a:lumOff val="25000"/>
                    </a:schemeClr>
                  </a:solidFill>
                  <a:latin typeface="+mn-lt"/>
                  <a:ea typeface="+mn-ea"/>
                  <a:cs typeface="+mn-cs"/>
                </a:defRPr>
              </a:pPr>
              <a:endParaRPr lang="fr-FR"/>
            </a:p>
          </c:txPr>
          <c:showLegendKey val="0"/>
          <c:showVal val="0"/>
          <c:showCatName val="0"/>
          <c:showSerName val="0"/>
          <c:showPercent val="0"/>
          <c:showBubbleSize val="0"/>
          <c:extLst>
            <c:ext xmlns:c15="http://schemas.microsoft.com/office/drawing/2012/chart" uri="{CE6537A1-D6FC-4f65-9D91-7224C49458BB}"/>
          </c:extLst>
        </c:dLbl>
      </c:pivotFmt>
      <c:pivotFmt>
        <c:idx val="10"/>
        <c:spPr>
          <a:pattFill prst="ltUpDiag">
            <a:fgClr>
              <a:schemeClr val="accent1"/>
            </a:fgClr>
            <a:bgClr>
              <a:schemeClr val="bg1"/>
            </a:bgClr>
          </a:pattFill>
          <a:ln>
            <a:noFill/>
          </a:ln>
          <a:effectLst>
            <a:innerShdw blurRad="114300">
              <a:srgbClr val="0070C0"/>
            </a:innerShdw>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dk1">
                      <a:lumMod val="75000"/>
                      <a:lumOff val="25000"/>
                    </a:schemeClr>
                  </a:solidFill>
                  <a:latin typeface="+mn-lt"/>
                  <a:ea typeface="+mn-ea"/>
                  <a:cs typeface="+mn-cs"/>
                </a:defRPr>
              </a:pPr>
              <a:endParaRPr lang="fr-FR"/>
            </a:p>
          </c:txPr>
          <c:showLegendKey val="0"/>
          <c:showVal val="0"/>
          <c:showCatName val="0"/>
          <c:showSerName val="0"/>
          <c:showPercent val="0"/>
          <c:showBubbleSize val="0"/>
          <c:extLst>
            <c:ext xmlns:c15="http://schemas.microsoft.com/office/drawing/2012/chart" uri="{CE6537A1-D6FC-4f65-9D91-7224C49458BB}"/>
          </c:extLst>
        </c:dLbl>
      </c:pivotFmt>
      <c:pivotFmt>
        <c:idx val="11"/>
        <c:spPr>
          <a:pattFill prst="ltUpDiag">
            <a:fgClr>
              <a:srgbClr val="C00000"/>
            </a:fgClr>
            <a:bgClr>
              <a:schemeClr val="bg1"/>
            </a:bgClr>
          </a:pattFill>
          <a:ln>
            <a:noFill/>
          </a:ln>
          <a:effectLst>
            <a:innerShdw blurRad="114300">
              <a:srgbClr val="C00000"/>
            </a:innerShdw>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dk1">
                      <a:lumMod val="75000"/>
                      <a:lumOff val="25000"/>
                    </a:schemeClr>
                  </a:solidFill>
                  <a:latin typeface="+mn-lt"/>
                  <a:ea typeface="+mn-ea"/>
                  <a:cs typeface="+mn-cs"/>
                </a:defRPr>
              </a:pPr>
              <a:endParaRPr lang="fr-FR"/>
            </a:p>
          </c:txPr>
          <c:showLegendKey val="0"/>
          <c:showVal val="0"/>
          <c:showCatName val="0"/>
          <c:showSerName val="0"/>
          <c:showPercent val="0"/>
          <c:showBubbleSize val="0"/>
          <c:extLst>
            <c:ext xmlns:c15="http://schemas.microsoft.com/office/drawing/2012/chart" uri="{CE6537A1-D6FC-4f65-9D91-7224C49458BB}"/>
          </c:extLst>
        </c:dLbl>
      </c:pivotFmt>
      <c:pivotFmt>
        <c:idx val="12"/>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dk1">
                      <a:lumMod val="75000"/>
                      <a:lumOff val="25000"/>
                    </a:schemeClr>
                  </a:solidFill>
                  <a:latin typeface="+mn-lt"/>
                  <a:ea typeface="+mn-ea"/>
                  <a:cs typeface="+mn-cs"/>
                </a:defRPr>
              </a:pPr>
              <a:endParaRPr lang="fr-FR"/>
            </a:p>
          </c:txPr>
          <c:showLegendKey val="0"/>
          <c:showVal val="0"/>
          <c:showCatName val="0"/>
          <c:showSerName val="0"/>
          <c:showPercent val="0"/>
          <c:showBubbleSize val="0"/>
          <c:extLst>
            <c:ext xmlns:c15="http://schemas.microsoft.com/office/drawing/2012/chart" uri="{CE6537A1-D6FC-4f65-9D91-7224C49458BB}"/>
          </c:extLst>
        </c:dLbl>
      </c:pivotFmt>
      <c:pivotFmt>
        <c:idx val="13"/>
        <c:spPr>
          <a:no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dk1">
                      <a:lumMod val="75000"/>
                      <a:lumOff val="25000"/>
                    </a:schemeClr>
                  </a:solidFill>
                  <a:latin typeface="+mn-lt"/>
                  <a:ea typeface="+mn-ea"/>
                  <a:cs typeface="+mn-cs"/>
                </a:defRPr>
              </a:pPr>
              <a:endParaRPr lang="fr-FR"/>
            </a:p>
          </c:txPr>
          <c:showLegendKey val="0"/>
          <c:showVal val="0"/>
          <c:showCatName val="0"/>
          <c:showSerName val="0"/>
          <c:showPercent val="0"/>
          <c:showBubbleSize val="0"/>
          <c:extLst>
            <c:ext xmlns:c15="http://schemas.microsoft.com/office/drawing/2012/chart" uri="{CE6537A1-D6FC-4f65-9D91-7224C49458BB}"/>
          </c:extLst>
        </c:dLbl>
      </c:pivotFmt>
    </c:pivotFmts>
    <c:plotArea>
      <c:layout>
        <c:manualLayout>
          <c:layoutTarget val="inner"/>
          <c:xMode val="edge"/>
          <c:yMode val="edge"/>
          <c:x val="8.617407407407407E-2"/>
          <c:y val="0.12823408603517181"/>
          <c:w val="0.80722339397317866"/>
          <c:h val="0.72997512513088059"/>
        </c:manualLayout>
      </c:layout>
      <c:barChart>
        <c:barDir val="col"/>
        <c:grouping val="clustered"/>
        <c:varyColors val="0"/>
        <c:ser>
          <c:idx val="0"/>
          <c:order val="0"/>
          <c:tx>
            <c:strRef>
              <c:f>'Général Tableau des conformités'!$B$7</c:f>
              <c:strCache>
                <c:ptCount val="1"/>
                <c:pt idx="0">
                  <c:v>Somme de Conforme</c:v>
                </c:pt>
              </c:strCache>
            </c:strRef>
          </c:tx>
          <c:spPr>
            <a:pattFill prst="ltUpDiag">
              <a:fgClr>
                <a:schemeClr val="accent1"/>
              </a:fgClr>
              <a:bgClr>
                <a:schemeClr val="bg1"/>
              </a:bgClr>
            </a:pattFill>
            <a:ln>
              <a:noFill/>
            </a:ln>
            <a:effectLst>
              <a:innerShdw blurRad="114300">
                <a:srgbClr val="0070C0"/>
              </a:innerShdw>
            </a:effectLst>
          </c:spPr>
          <c:invertIfNegative val="0"/>
          <c:cat>
            <c:strRef>
              <c:f>'Général Tableau des conformités'!$A$8:$A$23</c:f>
              <c:strCache>
                <c:ptCount val="15"/>
                <c:pt idx="0">
                  <c:v>03/02/2020</c:v>
                </c:pt>
                <c:pt idx="1">
                  <c:v>04/02/2020</c:v>
                </c:pt>
                <c:pt idx="2">
                  <c:v>05/02/2020</c:v>
                </c:pt>
                <c:pt idx="3">
                  <c:v>06/02/2020</c:v>
                </c:pt>
                <c:pt idx="4">
                  <c:v>07/02/2020</c:v>
                </c:pt>
                <c:pt idx="5">
                  <c:v>10/02/2020</c:v>
                </c:pt>
                <c:pt idx="6">
                  <c:v>11/02/2020</c:v>
                </c:pt>
                <c:pt idx="7">
                  <c:v>12/02/2020</c:v>
                </c:pt>
                <c:pt idx="8">
                  <c:v>13/02/2020</c:v>
                </c:pt>
                <c:pt idx="9">
                  <c:v>14/02/2020</c:v>
                </c:pt>
                <c:pt idx="10">
                  <c:v>17/02/2020</c:v>
                </c:pt>
                <c:pt idx="11">
                  <c:v>18/02/2020</c:v>
                </c:pt>
                <c:pt idx="12">
                  <c:v>19/02/2020</c:v>
                </c:pt>
                <c:pt idx="13">
                  <c:v>20/02/2020</c:v>
                </c:pt>
                <c:pt idx="14">
                  <c:v>21/02/2020</c:v>
                </c:pt>
              </c:strCache>
            </c:strRef>
          </c:cat>
          <c:val>
            <c:numRef>
              <c:f>'Général Tableau des conformités'!$B$8:$B$23</c:f>
              <c:numCache>
                <c:formatCode>General</c:formatCode>
                <c:ptCount val="15"/>
                <c:pt idx="0">
                  <c:v>0</c:v>
                </c:pt>
                <c:pt idx="1">
                  <c:v>0</c:v>
                </c:pt>
                <c:pt idx="2">
                  <c:v>0</c:v>
                </c:pt>
                <c:pt idx="3">
                  <c:v>0</c:v>
                </c:pt>
                <c:pt idx="4">
                  <c:v>0</c:v>
                </c:pt>
                <c:pt idx="5">
                  <c:v>0</c:v>
                </c:pt>
                <c:pt idx="6">
                  <c:v>0</c:v>
                </c:pt>
                <c:pt idx="7">
                  <c:v>0</c:v>
                </c:pt>
                <c:pt idx="8">
                  <c:v>0</c:v>
                </c:pt>
                <c:pt idx="9">
                  <c:v>0</c:v>
                </c:pt>
                <c:pt idx="10">
                  <c:v>0</c:v>
                </c:pt>
                <c:pt idx="11">
                  <c:v>1</c:v>
                </c:pt>
                <c:pt idx="12">
                  <c:v>0</c:v>
                </c:pt>
                <c:pt idx="13">
                  <c:v>2</c:v>
                </c:pt>
                <c:pt idx="14">
                  <c:v>1</c:v>
                </c:pt>
              </c:numCache>
            </c:numRef>
          </c:val>
          <c:extLst>
            <c:ext xmlns:c16="http://schemas.microsoft.com/office/drawing/2014/chart" uri="{C3380CC4-5D6E-409C-BE32-E72D297353CC}">
              <c16:uniqueId val="{00000000-3F66-445C-864D-5D0EEC9614C7}"/>
            </c:ext>
          </c:extLst>
        </c:ser>
        <c:ser>
          <c:idx val="1"/>
          <c:order val="1"/>
          <c:tx>
            <c:strRef>
              <c:f>'Général Tableau des conformités'!$C$7</c:f>
              <c:strCache>
                <c:ptCount val="1"/>
                <c:pt idx="0">
                  <c:v>Somme de Non conforme</c:v>
                </c:pt>
              </c:strCache>
            </c:strRef>
          </c:tx>
          <c:spPr>
            <a:pattFill prst="ltUpDiag">
              <a:fgClr>
                <a:srgbClr val="C00000"/>
              </a:fgClr>
              <a:bgClr>
                <a:schemeClr val="bg1"/>
              </a:bgClr>
            </a:pattFill>
            <a:ln>
              <a:noFill/>
            </a:ln>
            <a:effectLst>
              <a:innerShdw blurRad="114300">
                <a:srgbClr val="C00000"/>
              </a:innerShdw>
            </a:effectLst>
          </c:spPr>
          <c:invertIfNegative val="0"/>
          <c:cat>
            <c:strRef>
              <c:f>'Général Tableau des conformités'!$A$8:$A$23</c:f>
              <c:strCache>
                <c:ptCount val="15"/>
                <c:pt idx="0">
                  <c:v>03/02/2020</c:v>
                </c:pt>
                <c:pt idx="1">
                  <c:v>04/02/2020</c:v>
                </c:pt>
                <c:pt idx="2">
                  <c:v>05/02/2020</c:v>
                </c:pt>
                <c:pt idx="3">
                  <c:v>06/02/2020</c:v>
                </c:pt>
                <c:pt idx="4">
                  <c:v>07/02/2020</c:v>
                </c:pt>
                <c:pt idx="5">
                  <c:v>10/02/2020</c:v>
                </c:pt>
                <c:pt idx="6">
                  <c:v>11/02/2020</c:v>
                </c:pt>
                <c:pt idx="7">
                  <c:v>12/02/2020</c:v>
                </c:pt>
                <c:pt idx="8">
                  <c:v>13/02/2020</c:v>
                </c:pt>
                <c:pt idx="9">
                  <c:v>14/02/2020</c:v>
                </c:pt>
                <c:pt idx="10">
                  <c:v>17/02/2020</c:v>
                </c:pt>
                <c:pt idx="11">
                  <c:v>18/02/2020</c:v>
                </c:pt>
                <c:pt idx="12">
                  <c:v>19/02/2020</c:v>
                </c:pt>
                <c:pt idx="13">
                  <c:v>20/02/2020</c:v>
                </c:pt>
                <c:pt idx="14">
                  <c:v>21/02/2020</c:v>
                </c:pt>
              </c:strCache>
            </c:strRef>
          </c:cat>
          <c:val>
            <c:numRef>
              <c:f>'Général Tableau des conformités'!$C$8:$C$23</c:f>
              <c:numCache>
                <c:formatCode>General</c:formatCode>
                <c:ptCount val="15"/>
                <c:pt idx="0">
                  <c:v>5</c:v>
                </c:pt>
                <c:pt idx="1">
                  <c:v>19</c:v>
                </c:pt>
                <c:pt idx="2">
                  <c:v>20</c:v>
                </c:pt>
                <c:pt idx="3">
                  <c:v>12</c:v>
                </c:pt>
                <c:pt idx="4">
                  <c:v>3</c:v>
                </c:pt>
                <c:pt idx="5">
                  <c:v>19</c:v>
                </c:pt>
                <c:pt idx="6">
                  <c:v>14</c:v>
                </c:pt>
                <c:pt idx="7">
                  <c:v>6</c:v>
                </c:pt>
                <c:pt idx="8">
                  <c:v>19</c:v>
                </c:pt>
                <c:pt idx="9">
                  <c:v>26</c:v>
                </c:pt>
                <c:pt idx="10">
                  <c:v>2</c:v>
                </c:pt>
                <c:pt idx="11">
                  <c:v>8</c:v>
                </c:pt>
                <c:pt idx="12">
                  <c:v>0</c:v>
                </c:pt>
                <c:pt idx="13">
                  <c:v>0</c:v>
                </c:pt>
                <c:pt idx="14">
                  <c:v>0</c:v>
                </c:pt>
              </c:numCache>
            </c:numRef>
          </c:val>
          <c:extLst>
            <c:ext xmlns:c16="http://schemas.microsoft.com/office/drawing/2014/chart" uri="{C3380CC4-5D6E-409C-BE32-E72D297353CC}">
              <c16:uniqueId val="{00000000-5C84-45B7-974B-4DEA04E5697F}"/>
            </c:ext>
          </c:extLst>
        </c:ser>
        <c:ser>
          <c:idx val="2"/>
          <c:order val="2"/>
          <c:tx>
            <c:strRef>
              <c:f>'Général Tableau des conformités'!$D$7</c:f>
              <c:strCache>
                <c:ptCount val="1"/>
                <c:pt idx="0">
                  <c:v>Nombre de Conformité</c:v>
                </c:pt>
              </c:strCache>
            </c:strRef>
          </c:tx>
          <c:spPr>
            <a:noFill/>
            <a:ln>
              <a:noFill/>
            </a:ln>
            <a:effectLst/>
          </c:spPr>
          <c:invertIfNegative val="0"/>
          <c:cat>
            <c:strRef>
              <c:f>'Général Tableau des conformités'!$A$8:$A$23</c:f>
              <c:strCache>
                <c:ptCount val="15"/>
                <c:pt idx="0">
                  <c:v>03/02/2020</c:v>
                </c:pt>
                <c:pt idx="1">
                  <c:v>04/02/2020</c:v>
                </c:pt>
                <c:pt idx="2">
                  <c:v>05/02/2020</c:v>
                </c:pt>
                <c:pt idx="3">
                  <c:v>06/02/2020</c:v>
                </c:pt>
                <c:pt idx="4">
                  <c:v>07/02/2020</c:v>
                </c:pt>
                <c:pt idx="5">
                  <c:v>10/02/2020</c:v>
                </c:pt>
                <c:pt idx="6">
                  <c:v>11/02/2020</c:v>
                </c:pt>
                <c:pt idx="7">
                  <c:v>12/02/2020</c:v>
                </c:pt>
                <c:pt idx="8">
                  <c:v>13/02/2020</c:v>
                </c:pt>
                <c:pt idx="9">
                  <c:v>14/02/2020</c:v>
                </c:pt>
                <c:pt idx="10">
                  <c:v>17/02/2020</c:v>
                </c:pt>
                <c:pt idx="11">
                  <c:v>18/02/2020</c:v>
                </c:pt>
                <c:pt idx="12">
                  <c:v>19/02/2020</c:v>
                </c:pt>
                <c:pt idx="13">
                  <c:v>20/02/2020</c:v>
                </c:pt>
                <c:pt idx="14">
                  <c:v>21/02/2020</c:v>
                </c:pt>
              </c:strCache>
            </c:strRef>
          </c:cat>
          <c:val>
            <c:numRef>
              <c:f>'Général Tableau des conformités'!$D$8:$D$23</c:f>
              <c:numCache>
                <c:formatCode>General</c:formatCode>
                <c:ptCount val="15"/>
                <c:pt idx="0">
                  <c:v>5</c:v>
                </c:pt>
                <c:pt idx="1">
                  <c:v>19</c:v>
                </c:pt>
                <c:pt idx="2">
                  <c:v>20</c:v>
                </c:pt>
                <c:pt idx="3">
                  <c:v>12</c:v>
                </c:pt>
                <c:pt idx="4">
                  <c:v>3</c:v>
                </c:pt>
                <c:pt idx="5">
                  <c:v>19</c:v>
                </c:pt>
                <c:pt idx="6">
                  <c:v>14</c:v>
                </c:pt>
                <c:pt idx="7">
                  <c:v>6</c:v>
                </c:pt>
                <c:pt idx="8">
                  <c:v>19</c:v>
                </c:pt>
                <c:pt idx="9">
                  <c:v>26</c:v>
                </c:pt>
                <c:pt idx="10">
                  <c:v>2</c:v>
                </c:pt>
                <c:pt idx="11">
                  <c:v>9</c:v>
                </c:pt>
                <c:pt idx="13">
                  <c:v>2</c:v>
                </c:pt>
                <c:pt idx="14">
                  <c:v>1</c:v>
                </c:pt>
              </c:numCache>
            </c:numRef>
          </c:val>
          <c:extLst>
            <c:ext xmlns:c16="http://schemas.microsoft.com/office/drawing/2014/chart" uri="{C3380CC4-5D6E-409C-BE32-E72D297353CC}">
              <c16:uniqueId val="{00000002-5C84-45B7-974B-4DEA04E5697F}"/>
            </c:ext>
          </c:extLst>
        </c:ser>
        <c:dLbls>
          <c:showLegendKey val="0"/>
          <c:showVal val="0"/>
          <c:showCatName val="0"/>
          <c:showSerName val="0"/>
          <c:showPercent val="0"/>
          <c:showBubbleSize val="0"/>
        </c:dLbls>
        <c:gapWidth val="267"/>
        <c:overlap val="-43"/>
        <c:axId val="1828428032"/>
        <c:axId val="1242635040"/>
      </c:barChart>
      <c:catAx>
        <c:axId val="1828428032"/>
        <c:scaling>
          <c:orientation val="minMax"/>
        </c:scaling>
        <c:delete val="0"/>
        <c:axPos val="b"/>
        <c:majorGridlines>
          <c:spPr>
            <a:ln w="9525" cap="flat" cmpd="sng" algn="ctr">
              <a:noFill/>
              <a:round/>
            </a:ln>
            <a:effectLst/>
          </c:spPr>
        </c:majorGridlines>
        <c:numFmt formatCode="General" sourceLinked="1"/>
        <c:majorTickMark val="none"/>
        <c:minorTickMark val="none"/>
        <c:tickLblPos val="low"/>
        <c:spPr>
          <a:noFill/>
          <a:ln w="9525" cap="flat" cmpd="sng" algn="ctr">
            <a:solidFill>
              <a:schemeClr val="dk1">
                <a:lumMod val="15000"/>
                <a:lumOff val="85000"/>
              </a:schemeClr>
            </a:solidFill>
            <a:round/>
          </a:ln>
          <a:effectLst/>
        </c:spPr>
        <c:txPr>
          <a:bodyPr rot="0" spcFirstLastPara="1" vertOverflow="ellipsis" wrap="square" anchor="ctr" anchorCtr="1"/>
          <a:lstStyle/>
          <a:p>
            <a:pPr>
              <a:defRPr sz="900" b="0" i="0" u="none" strike="noStrike" kern="1200" cap="none" spc="0" normalizeH="0" baseline="0">
                <a:solidFill>
                  <a:schemeClr val="dk1">
                    <a:lumMod val="65000"/>
                    <a:lumOff val="35000"/>
                  </a:schemeClr>
                </a:solidFill>
                <a:latin typeface="+mn-lt"/>
                <a:ea typeface="+mn-ea"/>
                <a:cs typeface="+mn-cs"/>
              </a:defRPr>
            </a:pPr>
            <a:endParaRPr lang="fr-FR"/>
          </a:p>
        </c:txPr>
        <c:crossAx val="1242635040"/>
        <c:crosses val="autoZero"/>
        <c:auto val="1"/>
        <c:lblAlgn val="ctr"/>
        <c:lblOffset val="100"/>
        <c:noMultiLvlLbl val="0"/>
      </c:catAx>
      <c:valAx>
        <c:axId val="1242635040"/>
        <c:scaling>
          <c:orientation val="minMax"/>
        </c:scaling>
        <c:delete val="0"/>
        <c:axPos val="l"/>
        <c:majorGridlines>
          <c:spPr>
            <a:ln w="9525" cap="flat" cmpd="sng" algn="ctr">
              <a:solidFill>
                <a:schemeClr val="dk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dk1">
                    <a:lumMod val="65000"/>
                    <a:lumOff val="35000"/>
                  </a:schemeClr>
                </a:solidFill>
                <a:latin typeface="+mn-lt"/>
                <a:ea typeface="+mn-ea"/>
                <a:cs typeface="+mn-cs"/>
              </a:defRPr>
            </a:pPr>
            <a:endParaRPr lang="fr-FR"/>
          </a:p>
        </c:txPr>
        <c:crossAx val="1828428032"/>
        <c:crosses val="autoZero"/>
        <c:crossBetween val="between"/>
      </c:valAx>
      <c:spPr>
        <a:pattFill prst="ltDnDiag">
          <a:fgClr>
            <a:schemeClr val="dk1">
              <a:lumMod val="15000"/>
              <a:lumOff val="85000"/>
            </a:schemeClr>
          </a:fgClr>
          <a:bgClr>
            <a:schemeClr val="lt1"/>
          </a:bgClr>
        </a:pattFill>
        <a:ln>
          <a:noFill/>
        </a:ln>
        <a:effectLst/>
      </c:spPr>
    </c:plotArea>
    <c:legend>
      <c:legendPos val="r"/>
      <c:legendEntry>
        <c:idx val="2"/>
        <c:delete val="1"/>
      </c:legendEntry>
      <c:layout>
        <c:manualLayout>
          <c:xMode val="edge"/>
          <c:yMode val="edge"/>
          <c:x val="0.88219555555555551"/>
          <c:y val="0.47228308823529414"/>
          <c:w val="0.11780446735824515"/>
          <c:h val="0.17294509977182909"/>
        </c:manualLayout>
      </c:layout>
      <c:overlay val="0"/>
      <c:spPr>
        <a:noFill/>
        <a:ln>
          <a:noFill/>
        </a:ln>
        <a:effectLst/>
      </c:spPr>
      <c:txPr>
        <a:bodyPr rot="0" spcFirstLastPara="1" vertOverflow="ellipsis" vert="horz" wrap="square" anchor="ctr" anchorCtr="1"/>
        <a:lstStyle/>
        <a:p>
          <a:pPr>
            <a:defRPr sz="900" b="0" i="0" u="none" strike="noStrike" kern="1200" baseline="0">
              <a:solidFill>
                <a:schemeClr val="dk1">
                  <a:lumMod val="65000"/>
                  <a:lumOff val="35000"/>
                </a:schemeClr>
              </a:solidFill>
              <a:latin typeface="+mn-lt"/>
              <a:ea typeface="+mn-ea"/>
              <a:cs typeface="+mn-cs"/>
            </a:defRPr>
          </a:pPr>
          <a:endParaRPr lang="fr-FR"/>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noFill/>
    <a:ln w="9525" cap="flat" cmpd="sng" algn="ctr">
      <a:noFill/>
      <a:round/>
    </a:ln>
    <a:effectLst/>
  </c:spPr>
  <c:txPr>
    <a:bodyPr/>
    <a:lstStyle/>
    <a:p>
      <a:pPr>
        <a:defRPr/>
      </a:pPr>
      <a:endParaRPr lang="fr-FR"/>
    </a:p>
  </c:txPr>
  <c:printSettings>
    <c:headerFooter/>
    <c:pageMargins b="0.75" l="0.7" r="0.7" t="0.75" header="0.3" footer="0.3"/>
    <c:pageSetup/>
  </c:printSettings>
  <c:extLst>
    <c:ext xmlns:c14="http://schemas.microsoft.com/office/drawing/2007/8/2/chart" uri="{781A3756-C4B2-4CAC-9D66-4F8BD8637D16}">
      <c14:pivotOptions>
        <c14:dropZoneFilter val="1"/>
        <c14:dropZoneCategories val="1"/>
        <c14:dropZoneData val="1"/>
        <c14:dropZoneSeries val="1"/>
      </c14:pivotOptions>
    </c:ext>
    <c:ext xmlns:c16="http://schemas.microsoft.com/office/drawing/2014/chart" uri="{E28EC0CA-F0BB-4C9C-879D-F8772B89E7AC}">
      <c16:pivotOptions16>
        <c16:showExpandCollapseFieldButtons val="1"/>
      </c16:pivotOptions16>
    </c:ext>
  </c:extLst>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pivotSource>
    <c:name>[Journal V0.5.8.xlsm]Général - points!Tableau croisé dynamique2</c:name>
    <c:fmtId val="13"/>
  </c:pivotSource>
  <c:chart>
    <c:title>
      <c:tx>
        <c:rich>
          <a:bodyPr rot="0" spcFirstLastPara="1" vertOverflow="ellipsis" vert="horz" wrap="square" anchor="ctr" anchorCtr="1"/>
          <a:lstStyle/>
          <a:p>
            <a:pPr>
              <a:defRPr sz="1200" b="0" i="0" u="none" strike="noStrike" kern="1200" cap="none" spc="0" normalizeH="0" baseline="0">
                <a:solidFill>
                  <a:schemeClr val="dk1">
                    <a:lumMod val="50000"/>
                    <a:lumOff val="50000"/>
                  </a:schemeClr>
                </a:solidFill>
                <a:latin typeface="Cambria" panose="02040503050406030204" pitchFamily="18" charset="0"/>
                <a:ea typeface="+mj-ea"/>
                <a:cs typeface="+mj-cs"/>
              </a:defRPr>
            </a:pPr>
            <a:r>
              <a:rPr lang="fr-FR" sz="1200" b="0" baseline="0">
                <a:latin typeface="Cambria" panose="02040503050406030204" pitchFamily="18" charset="0"/>
              </a:rPr>
              <a:t>Points</a:t>
            </a:r>
          </a:p>
        </c:rich>
      </c:tx>
      <c:overlay val="0"/>
      <c:spPr>
        <a:noFill/>
        <a:ln>
          <a:noFill/>
        </a:ln>
        <a:effectLst/>
      </c:spPr>
      <c:txPr>
        <a:bodyPr rot="0" spcFirstLastPara="1" vertOverflow="ellipsis" vert="horz" wrap="square" anchor="ctr" anchorCtr="1"/>
        <a:lstStyle/>
        <a:p>
          <a:pPr>
            <a:defRPr sz="1200" b="0" i="0" u="none" strike="noStrike" kern="1200" cap="none" spc="0" normalizeH="0" baseline="0">
              <a:solidFill>
                <a:schemeClr val="dk1">
                  <a:lumMod val="50000"/>
                  <a:lumOff val="50000"/>
                </a:schemeClr>
              </a:solidFill>
              <a:latin typeface="Cambria" panose="02040503050406030204" pitchFamily="18" charset="0"/>
              <a:ea typeface="+mj-ea"/>
              <a:cs typeface="+mj-cs"/>
            </a:defRPr>
          </a:pPr>
          <a:endParaRPr lang="fr-FR"/>
        </a:p>
      </c:txPr>
    </c:title>
    <c:autoTitleDeleted val="0"/>
    <c:pivotFmts>
      <c:pivotFmt>
        <c:idx val="0"/>
        <c:dLbl>
          <c:idx val="0"/>
          <c:showLegendKey val="0"/>
          <c:showVal val="0"/>
          <c:showCatName val="0"/>
          <c:showSerName val="0"/>
          <c:showPercent val="0"/>
          <c:showBubbleSize val="0"/>
          <c:extLst>
            <c:ext xmlns:c15="http://schemas.microsoft.com/office/drawing/2012/chart" uri="{CE6537A1-D6FC-4f65-9D91-7224C49458BB}"/>
          </c:extLst>
        </c:dLbl>
      </c:pivotFmt>
      <c:pivotFmt>
        <c:idx val="1"/>
        <c:dLbl>
          <c:idx val="0"/>
          <c:showLegendKey val="0"/>
          <c:showVal val="0"/>
          <c:showCatName val="0"/>
          <c:showSerName val="0"/>
          <c:showPercent val="0"/>
          <c:showBubbleSize val="0"/>
          <c:extLst>
            <c:ext xmlns:c15="http://schemas.microsoft.com/office/drawing/2012/chart" uri="{CE6537A1-D6FC-4f65-9D91-7224C49458BB}"/>
          </c:extLst>
        </c:dLbl>
      </c:pivotFmt>
      <c:pivotFmt>
        <c:idx val="2"/>
        <c:dLbl>
          <c:idx val="0"/>
          <c:showLegendKey val="0"/>
          <c:showVal val="0"/>
          <c:showCatName val="0"/>
          <c:showSerName val="0"/>
          <c:showPercent val="0"/>
          <c:showBubbleSize val="0"/>
          <c:extLst>
            <c:ext xmlns:c15="http://schemas.microsoft.com/office/drawing/2012/chart" uri="{CE6537A1-D6FC-4f65-9D91-7224C49458BB}"/>
          </c:extLst>
        </c:dLbl>
      </c:pivotFmt>
      <c:pivotFmt>
        <c:idx val="3"/>
        <c:dLbl>
          <c:idx val="0"/>
          <c:showLegendKey val="0"/>
          <c:showVal val="0"/>
          <c:showCatName val="0"/>
          <c:showSerName val="0"/>
          <c:showPercent val="0"/>
          <c:showBubbleSize val="0"/>
          <c:extLst>
            <c:ext xmlns:c15="http://schemas.microsoft.com/office/drawing/2012/chart" uri="{CE6537A1-D6FC-4f65-9D91-7224C49458BB}"/>
          </c:extLst>
        </c:dLbl>
      </c:pivotFmt>
      <c:pivotFmt>
        <c:idx val="4"/>
        <c:spPr>
          <a:pattFill prst="ltUpDiag">
            <a:fgClr>
              <a:srgbClr val="0070C0"/>
            </a:fgClr>
            <a:bgClr>
              <a:schemeClr val="bg1"/>
            </a:bgClr>
          </a:pattFill>
          <a:ln>
            <a:noFill/>
          </a:ln>
          <a:effectLst>
            <a:innerShdw blurRad="114300">
              <a:srgbClr val="0070C0"/>
            </a:innerShdw>
          </a:effectLst>
        </c:spPr>
        <c:marker>
          <c:symbol val="none"/>
        </c:marker>
        <c:dLbl>
          <c:idx val="0"/>
          <c:numFmt formatCode="0.0\ &quot;Pts&quot;;\-\ 0.0\ &quot;Pts&quot;;&quot;&quot;" sourceLinked="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dk1">
                      <a:lumMod val="75000"/>
                      <a:lumOff val="25000"/>
                    </a:schemeClr>
                  </a:solidFill>
                  <a:latin typeface="+mn-lt"/>
                  <a:ea typeface="+mn-ea"/>
                  <a:cs typeface="+mn-cs"/>
                </a:defRPr>
              </a:pPr>
              <a:endParaRPr lang="fr-FR"/>
            </a:p>
          </c:txPr>
          <c:showLegendKey val="0"/>
          <c:showVal val="1"/>
          <c:showCatName val="0"/>
          <c:showSerName val="0"/>
          <c:showPercent val="0"/>
          <c:showBubbleSize val="0"/>
          <c:extLst>
            <c:ext xmlns:c15="http://schemas.microsoft.com/office/drawing/2012/chart" uri="{CE6537A1-D6FC-4f65-9D91-7224C49458BB}"/>
          </c:extLst>
        </c:dLbl>
      </c:pivotFmt>
      <c:pivotFmt>
        <c:idx val="5"/>
        <c:spPr>
          <a:pattFill prst="ltUpDiag">
            <a:fgClr>
              <a:srgbClr val="C00000"/>
            </a:fgClr>
            <a:bgClr>
              <a:schemeClr val="bg1"/>
            </a:bgClr>
          </a:pattFill>
          <a:ln>
            <a:noFill/>
          </a:ln>
          <a:effectLst>
            <a:innerShdw blurRad="114300">
              <a:srgbClr val="C00000"/>
            </a:innerShdw>
          </a:effectLst>
        </c:spPr>
        <c:marker>
          <c:symbol val="none"/>
        </c:marker>
        <c:dLbl>
          <c:idx val="0"/>
          <c:numFmt formatCode="0.0\ &quot;Pts&quot;;\-\ 0.0\ &quot;Pts&quot;;&quot;&quot;" sourceLinked="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dk1">
                      <a:lumMod val="75000"/>
                      <a:lumOff val="25000"/>
                    </a:schemeClr>
                  </a:solidFill>
                  <a:latin typeface="+mn-lt"/>
                  <a:ea typeface="+mn-ea"/>
                  <a:cs typeface="+mn-cs"/>
                </a:defRPr>
              </a:pPr>
              <a:endParaRPr lang="fr-FR"/>
            </a:p>
          </c:txPr>
          <c:showLegendKey val="0"/>
          <c:showVal val="1"/>
          <c:showCatName val="0"/>
          <c:showSerName val="0"/>
          <c:showPercent val="0"/>
          <c:showBubbleSize val="0"/>
          <c:extLst>
            <c:ext xmlns:c15="http://schemas.microsoft.com/office/drawing/2012/chart" uri="{CE6537A1-D6FC-4f65-9D91-7224C49458BB}"/>
          </c:extLst>
        </c:dLbl>
      </c:pivotFmt>
    </c:pivotFmts>
    <c:plotArea>
      <c:layout>
        <c:manualLayout>
          <c:layoutTarget val="inner"/>
          <c:xMode val="edge"/>
          <c:yMode val="edge"/>
          <c:x val="7.3111666666666672E-2"/>
          <c:y val="0.1252361111111111"/>
          <c:w val="0.80953027777777775"/>
          <c:h val="0.74917702797245711"/>
        </c:manualLayout>
      </c:layout>
      <c:barChart>
        <c:barDir val="col"/>
        <c:grouping val="clustered"/>
        <c:varyColors val="0"/>
        <c:ser>
          <c:idx val="0"/>
          <c:order val="0"/>
          <c:tx>
            <c:strRef>
              <c:f>'Général - points'!$B$7</c:f>
              <c:strCache>
                <c:ptCount val="1"/>
                <c:pt idx="0">
                  <c:v>Somme de points_+</c:v>
                </c:pt>
              </c:strCache>
            </c:strRef>
          </c:tx>
          <c:spPr>
            <a:pattFill prst="ltUpDiag">
              <a:fgClr>
                <a:srgbClr val="0070C0"/>
              </a:fgClr>
              <a:bgClr>
                <a:schemeClr val="bg1"/>
              </a:bgClr>
            </a:pattFill>
            <a:ln>
              <a:noFill/>
            </a:ln>
            <a:effectLst>
              <a:innerShdw blurRad="114300">
                <a:srgbClr val="0070C0"/>
              </a:innerShdw>
            </a:effectLst>
          </c:spPr>
          <c:invertIfNegative val="0"/>
          <c:dLbls>
            <c:numFmt formatCode="0.0\ &quot;Pts&quot;;\-\ 0.0\ &quot;Pts&quot;;&quot;&quot;" sourceLinked="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dk1">
                        <a:lumMod val="75000"/>
                        <a:lumOff val="25000"/>
                      </a:schemeClr>
                    </a:solidFill>
                    <a:latin typeface="+mn-lt"/>
                    <a:ea typeface="+mn-ea"/>
                    <a:cs typeface="+mn-cs"/>
                  </a:defRPr>
                </a:pPr>
                <a:endParaRPr lang="fr-FR"/>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dk1">
                          <a:lumMod val="35000"/>
                          <a:lumOff val="65000"/>
                        </a:schemeClr>
                      </a:solidFill>
                      <a:round/>
                    </a:ln>
                    <a:effectLst/>
                  </c:spPr>
                </c15:leaderLines>
              </c:ext>
            </c:extLst>
          </c:dLbls>
          <c:cat>
            <c:strRef>
              <c:f>'Général - points'!$A$8:$A$23</c:f>
              <c:strCache>
                <c:ptCount val="15"/>
                <c:pt idx="0">
                  <c:v>03/02/2020</c:v>
                </c:pt>
                <c:pt idx="1">
                  <c:v>04/02/2020</c:v>
                </c:pt>
                <c:pt idx="2">
                  <c:v>05/02/2020</c:v>
                </c:pt>
                <c:pt idx="3">
                  <c:v>06/02/2020</c:v>
                </c:pt>
                <c:pt idx="4">
                  <c:v>07/02/2020</c:v>
                </c:pt>
                <c:pt idx="5">
                  <c:v>10/02/2020</c:v>
                </c:pt>
                <c:pt idx="6">
                  <c:v>11/02/2020</c:v>
                </c:pt>
                <c:pt idx="7">
                  <c:v>12/02/2020</c:v>
                </c:pt>
                <c:pt idx="8">
                  <c:v>13/02/2020</c:v>
                </c:pt>
                <c:pt idx="9">
                  <c:v>14/02/2020</c:v>
                </c:pt>
                <c:pt idx="10">
                  <c:v>17/02/2020</c:v>
                </c:pt>
                <c:pt idx="11">
                  <c:v>18/02/2020</c:v>
                </c:pt>
                <c:pt idx="12">
                  <c:v>19/02/2020</c:v>
                </c:pt>
                <c:pt idx="13">
                  <c:v>20/02/2020</c:v>
                </c:pt>
                <c:pt idx="14">
                  <c:v>21/02/2020</c:v>
                </c:pt>
              </c:strCache>
            </c:strRef>
          </c:cat>
          <c:val>
            <c:numRef>
              <c:f>'Général - points'!$B$8:$B$23</c:f>
              <c:numCache>
                <c:formatCode>General\ "Pts"</c:formatCode>
                <c:ptCount val="15"/>
                <c:pt idx="0">
                  <c:v>22.1</c:v>
                </c:pt>
                <c:pt idx="1">
                  <c:v>4.0999999999999943</c:v>
                </c:pt>
                <c:pt idx="2">
                  <c:v>12.500000000000028</c:v>
                </c:pt>
                <c:pt idx="3">
                  <c:v>33.300000000000011</c:v>
                </c:pt>
                <c:pt idx="4">
                  <c:v>32.799999999999997</c:v>
                </c:pt>
                <c:pt idx="5">
                  <c:v>0</c:v>
                </c:pt>
                <c:pt idx="6">
                  <c:v>0</c:v>
                </c:pt>
                <c:pt idx="7">
                  <c:v>0</c:v>
                </c:pt>
                <c:pt idx="8">
                  <c:v>0</c:v>
                </c:pt>
                <c:pt idx="9">
                  <c:v>0</c:v>
                </c:pt>
                <c:pt idx="10">
                  <c:v>110.9</c:v>
                </c:pt>
                <c:pt idx="11">
                  <c:v>34.399999999999991</c:v>
                </c:pt>
                <c:pt idx="12">
                  <c:v>0</c:v>
                </c:pt>
                <c:pt idx="13">
                  <c:v>56.6</c:v>
                </c:pt>
                <c:pt idx="14">
                  <c:v>1</c:v>
                </c:pt>
              </c:numCache>
            </c:numRef>
          </c:val>
          <c:extLst>
            <c:ext xmlns:c16="http://schemas.microsoft.com/office/drawing/2014/chart" uri="{C3380CC4-5D6E-409C-BE32-E72D297353CC}">
              <c16:uniqueId val="{00000000-A1F5-4769-BC76-60B31F8CD37B}"/>
            </c:ext>
          </c:extLst>
        </c:ser>
        <c:ser>
          <c:idx val="1"/>
          <c:order val="1"/>
          <c:tx>
            <c:strRef>
              <c:f>'Général - points'!$C$7</c:f>
              <c:strCache>
                <c:ptCount val="1"/>
                <c:pt idx="0">
                  <c:v>Somme de points_-</c:v>
                </c:pt>
              </c:strCache>
            </c:strRef>
          </c:tx>
          <c:spPr>
            <a:pattFill prst="ltUpDiag">
              <a:fgClr>
                <a:srgbClr val="C00000"/>
              </a:fgClr>
              <a:bgClr>
                <a:schemeClr val="bg1"/>
              </a:bgClr>
            </a:pattFill>
            <a:ln>
              <a:noFill/>
            </a:ln>
            <a:effectLst>
              <a:innerShdw blurRad="114300">
                <a:srgbClr val="C00000"/>
              </a:innerShdw>
            </a:effectLst>
          </c:spPr>
          <c:invertIfNegative val="0"/>
          <c:dLbls>
            <c:numFmt formatCode="0.0\ &quot;Pts&quot;;\-\ 0.0\ &quot;Pts&quot;;&quot;&quot;" sourceLinked="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dk1">
                        <a:lumMod val="75000"/>
                        <a:lumOff val="25000"/>
                      </a:schemeClr>
                    </a:solidFill>
                    <a:latin typeface="+mn-lt"/>
                    <a:ea typeface="+mn-ea"/>
                    <a:cs typeface="+mn-cs"/>
                  </a:defRPr>
                </a:pPr>
                <a:endParaRPr lang="fr-FR"/>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dk1">
                          <a:lumMod val="35000"/>
                          <a:lumOff val="65000"/>
                        </a:schemeClr>
                      </a:solidFill>
                      <a:round/>
                    </a:ln>
                    <a:effectLst/>
                  </c:spPr>
                </c15:leaderLines>
              </c:ext>
            </c:extLst>
          </c:dLbls>
          <c:cat>
            <c:strRef>
              <c:f>'Général - points'!$A$8:$A$23</c:f>
              <c:strCache>
                <c:ptCount val="15"/>
                <c:pt idx="0">
                  <c:v>03/02/2020</c:v>
                </c:pt>
                <c:pt idx="1">
                  <c:v>04/02/2020</c:v>
                </c:pt>
                <c:pt idx="2">
                  <c:v>05/02/2020</c:v>
                </c:pt>
                <c:pt idx="3">
                  <c:v>06/02/2020</c:v>
                </c:pt>
                <c:pt idx="4">
                  <c:v>07/02/2020</c:v>
                </c:pt>
                <c:pt idx="5">
                  <c:v>10/02/2020</c:v>
                </c:pt>
                <c:pt idx="6">
                  <c:v>11/02/2020</c:v>
                </c:pt>
                <c:pt idx="7">
                  <c:v>12/02/2020</c:v>
                </c:pt>
                <c:pt idx="8">
                  <c:v>13/02/2020</c:v>
                </c:pt>
                <c:pt idx="9">
                  <c:v>14/02/2020</c:v>
                </c:pt>
                <c:pt idx="10">
                  <c:v>17/02/2020</c:v>
                </c:pt>
                <c:pt idx="11">
                  <c:v>18/02/2020</c:v>
                </c:pt>
                <c:pt idx="12">
                  <c:v>19/02/2020</c:v>
                </c:pt>
                <c:pt idx="13">
                  <c:v>20/02/2020</c:v>
                </c:pt>
                <c:pt idx="14">
                  <c:v>21/02/2020</c:v>
                </c:pt>
              </c:strCache>
            </c:strRef>
          </c:cat>
          <c:val>
            <c:numRef>
              <c:f>'Général - points'!$C$8:$C$23</c:f>
              <c:numCache>
                <c:formatCode>General\ "Pts"</c:formatCode>
                <c:ptCount val="15"/>
                <c:pt idx="0">
                  <c:v>0</c:v>
                </c:pt>
                <c:pt idx="1">
                  <c:v>0</c:v>
                </c:pt>
                <c:pt idx="2">
                  <c:v>0</c:v>
                </c:pt>
                <c:pt idx="3">
                  <c:v>0</c:v>
                </c:pt>
                <c:pt idx="4">
                  <c:v>0</c:v>
                </c:pt>
                <c:pt idx="5">
                  <c:v>-138.79999999999998</c:v>
                </c:pt>
                <c:pt idx="6">
                  <c:v>-138.19999999999999</c:v>
                </c:pt>
                <c:pt idx="7">
                  <c:v>-0.99999999999999578</c:v>
                </c:pt>
                <c:pt idx="8">
                  <c:v>-114.50000000000001</c:v>
                </c:pt>
                <c:pt idx="9">
                  <c:v>-209.69999999999993</c:v>
                </c:pt>
                <c:pt idx="10">
                  <c:v>0</c:v>
                </c:pt>
                <c:pt idx="11">
                  <c:v>0</c:v>
                </c:pt>
                <c:pt idx="12">
                  <c:v>0</c:v>
                </c:pt>
                <c:pt idx="13">
                  <c:v>0</c:v>
                </c:pt>
                <c:pt idx="14">
                  <c:v>0</c:v>
                </c:pt>
              </c:numCache>
            </c:numRef>
          </c:val>
          <c:extLst>
            <c:ext xmlns:c16="http://schemas.microsoft.com/office/drawing/2014/chart" uri="{C3380CC4-5D6E-409C-BE32-E72D297353CC}">
              <c16:uniqueId val="{00000001-A1F5-4769-BC76-60B31F8CD37B}"/>
            </c:ext>
          </c:extLst>
        </c:ser>
        <c:dLbls>
          <c:showLegendKey val="0"/>
          <c:showVal val="0"/>
          <c:showCatName val="0"/>
          <c:showSerName val="0"/>
          <c:showPercent val="0"/>
          <c:showBubbleSize val="0"/>
        </c:dLbls>
        <c:gapWidth val="265"/>
        <c:overlap val="-43"/>
        <c:axId val="1917197200"/>
        <c:axId val="1910555952"/>
      </c:barChart>
      <c:catAx>
        <c:axId val="1917197200"/>
        <c:scaling>
          <c:orientation val="minMax"/>
        </c:scaling>
        <c:delete val="0"/>
        <c:axPos val="b"/>
        <c:majorGridlines>
          <c:spPr>
            <a:ln w="9525" cap="flat" cmpd="sng" algn="ctr">
              <a:noFill/>
              <a:round/>
            </a:ln>
            <a:effectLst/>
          </c:spPr>
        </c:majorGridlines>
        <c:numFmt formatCode="General" sourceLinked="1"/>
        <c:majorTickMark val="none"/>
        <c:minorTickMark val="none"/>
        <c:tickLblPos val="low"/>
        <c:spPr>
          <a:noFill/>
          <a:ln w="9525" cap="flat" cmpd="sng" algn="ctr">
            <a:solidFill>
              <a:schemeClr val="dk1">
                <a:lumMod val="15000"/>
                <a:lumOff val="85000"/>
              </a:schemeClr>
            </a:solidFill>
            <a:round/>
          </a:ln>
          <a:effectLst/>
        </c:spPr>
        <c:txPr>
          <a:bodyPr rot="0" spcFirstLastPara="1" vertOverflow="ellipsis" wrap="square" anchor="ctr" anchorCtr="1"/>
          <a:lstStyle/>
          <a:p>
            <a:pPr>
              <a:defRPr sz="900" b="0" i="0" u="none" strike="noStrike" kern="1200" cap="none" spc="0" normalizeH="0" baseline="0">
                <a:solidFill>
                  <a:schemeClr val="dk1">
                    <a:lumMod val="65000"/>
                    <a:lumOff val="35000"/>
                  </a:schemeClr>
                </a:solidFill>
                <a:latin typeface="+mn-lt"/>
                <a:ea typeface="+mn-ea"/>
                <a:cs typeface="+mn-cs"/>
              </a:defRPr>
            </a:pPr>
            <a:endParaRPr lang="fr-FR"/>
          </a:p>
        </c:txPr>
        <c:crossAx val="1910555952"/>
        <c:crosses val="autoZero"/>
        <c:auto val="1"/>
        <c:lblAlgn val="ctr"/>
        <c:lblOffset val="100"/>
        <c:noMultiLvlLbl val="0"/>
      </c:catAx>
      <c:valAx>
        <c:axId val="1910555952"/>
        <c:scaling>
          <c:orientation val="minMax"/>
        </c:scaling>
        <c:delete val="0"/>
        <c:axPos val="l"/>
        <c:majorGridlines>
          <c:spPr>
            <a:ln w="9525" cap="flat" cmpd="sng" algn="ctr">
              <a:solidFill>
                <a:schemeClr val="dk1">
                  <a:lumMod val="15000"/>
                  <a:lumOff val="85000"/>
                </a:schemeClr>
              </a:solidFill>
              <a:round/>
            </a:ln>
            <a:effectLst/>
          </c:spPr>
        </c:majorGridlines>
        <c:numFmt formatCode="General\ &quot;Pts&quot;"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dk1">
                    <a:lumMod val="65000"/>
                    <a:lumOff val="35000"/>
                  </a:schemeClr>
                </a:solidFill>
                <a:latin typeface="+mn-lt"/>
                <a:ea typeface="+mn-ea"/>
                <a:cs typeface="+mn-cs"/>
              </a:defRPr>
            </a:pPr>
            <a:endParaRPr lang="fr-FR"/>
          </a:p>
        </c:txPr>
        <c:crossAx val="1917197200"/>
        <c:crosses val="autoZero"/>
        <c:crossBetween val="between"/>
      </c:valAx>
      <c:spPr>
        <a:pattFill prst="ltDnDiag">
          <a:fgClr>
            <a:schemeClr val="dk1">
              <a:lumMod val="15000"/>
              <a:lumOff val="85000"/>
            </a:schemeClr>
          </a:fgClr>
          <a:bgClr>
            <a:schemeClr val="lt1"/>
          </a:bgClr>
        </a:patt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noFill/>
    <a:ln w="9525" cap="flat" cmpd="sng" algn="ctr">
      <a:noFill/>
      <a:round/>
    </a:ln>
    <a:effectLst/>
  </c:spPr>
  <c:txPr>
    <a:bodyPr/>
    <a:lstStyle/>
    <a:p>
      <a:pPr>
        <a:defRPr/>
      </a:pPr>
      <a:endParaRPr lang="fr-FR"/>
    </a:p>
  </c:txPr>
  <c:printSettings>
    <c:headerFooter/>
    <c:pageMargins b="0.75" l="0.7" r="0.7" t="0.75" header="0.3" footer="0.3"/>
    <c:pageSetup/>
  </c:printSettings>
  <c:extLst>
    <c:ext xmlns:c14="http://schemas.microsoft.com/office/drawing/2007/8/2/chart" uri="{781A3756-C4B2-4CAC-9D66-4F8BD8637D16}">
      <c14:pivotOptions>
        <c14:dropZoneFilter val="1"/>
        <c14:dropZoneCategories val="1"/>
        <c14:dropZoneData val="1"/>
      </c14:pivotOptions>
    </c:ext>
    <c:ext xmlns:c16="http://schemas.microsoft.com/office/drawing/2014/chart" uri="{E28EC0CA-F0BB-4C9C-879D-F8772B89E7AC}">
      <c16:pivotOptions16>
        <c16:showExpandCollapseFieldButtons val="1"/>
      </c16:pivotOptions16>
    </c:ext>
  </c:extLst>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pivotSource>
    <c:name>[Journal V0.5.8.xlsm]Général - Tableau Drawdown!Tableau croisé dynamique2</c:name>
    <c:fmtId val="8"/>
  </c:pivotSource>
  <c:chart>
    <c:title>
      <c:tx>
        <c:rich>
          <a:bodyPr rot="0" spcFirstLastPara="1" vertOverflow="ellipsis" vert="horz" wrap="square" anchor="ctr" anchorCtr="1"/>
          <a:lstStyle/>
          <a:p>
            <a:pPr>
              <a:defRPr sz="1200" b="0" i="0" u="none" strike="noStrike" kern="1200" cap="none" spc="0" normalizeH="0" baseline="0">
                <a:solidFill>
                  <a:schemeClr val="dk1">
                    <a:lumMod val="50000"/>
                    <a:lumOff val="50000"/>
                  </a:schemeClr>
                </a:solidFill>
                <a:latin typeface="Cambria" panose="02040503050406030204" pitchFamily="18" charset="0"/>
                <a:ea typeface="+mj-ea"/>
                <a:cs typeface="+mj-cs"/>
              </a:defRPr>
            </a:pPr>
            <a:r>
              <a:rPr lang="fr-FR" sz="1200" b="0" i="0" baseline="0">
                <a:latin typeface="Cambria" panose="02040503050406030204" pitchFamily="18" charset="0"/>
              </a:rPr>
              <a:t>Drawdown</a:t>
            </a:r>
          </a:p>
        </c:rich>
      </c:tx>
      <c:overlay val="0"/>
      <c:spPr>
        <a:noFill/>
        <a:ln>
          <a:noFill/>
        </a:ln>
        <a:effectLst/>
      </c:spPr>
      <c:txPr>
        <a:bodyPr rot="0" spcFirstLastPara="1" vertOverflow="ellipsis" vert="horz" wrap="square" anchor="ctr" anchorCtr="1"/>
        <a:lstStyle/>
        <a:p>
          <a:pPr>
            <a:defRPr sz="1200" b="0" i="0" u="none" strike="noStrike" kern="1200" cap="none" spc="0" normalizeH="0" baseline="0">
              <a:solidFill>
                <a:schemeClr val="dk1">
                  <a:lumMod val="50000"/>
                  <a:lumOff val="50000"/>
                </a:schemeClr>
              </a:solidFill>
              <a:latin typeface="Cambria" panose="02040503050406030204" pitchFamily="18" charset="0"/>
              <a:ea typeface="+mj-ea"/>
              <a:cs typeface="+mj-cs"/>
            </a:defRPr>
          </a:pPr>
          <a:endParaRPr lang="fr-FR"/>
        </a:p>
      </c:txPr>
    </c:title>
    <c:autoTitleDeleted val="0"/>
    <c:pivotFmts>
      <c:pivotFmt>
        <c:idx val="0"/>
      </c:pivotFmt>
      <c:pivotFmt>
        <c:idx val="1"/>
      </c:pivotFmt>
      <c:pivotFmt>
        <c:idx val="2"/>
        <c:spPr>
          <a:pattFill prst="ltUpDiag">
            <a:fgClr>
              <a:srgbClr val="C00000"/>
            </a:fgClr>
            <a:bgClr>
              <a:schemeClr val="bg1"/>
            </a:bgClr>
          </a:pattFill>
          <a:ln>
            <a:noFill/>
          </a:ln>
          <a:effectLst>
            <a:innerShdw blurRad="114300">
              <a:srgbClr val="C00000"/>
            </a:innerShdw>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dk1">
                      <a:lumMod val="75000"/>
                      <a:lumOff val="25000"/>
                    </a:schemeClr>
                  </a:solidFill>
                  <a:latin typeface="+mn-lt"/>
                  <a:ea typeface="+mn-ea"/>
                  <a:cs typeface="+mn-cs"/>
                </a:defRPr>
              </a:pPr>
              <a:endParaRPr lang="fr-FR"/>
            </a:p>
          </c:txPr>
          <c:showLegendKey val="0"/>
          <c:showVal val="1"/>
          <c:showCatName val="0"/>
          <c:showSerName val="0"/>
          <c:showPercent val="0"/>
          <c:showBubbleSize val="0"/>
          <c:extLst>
            <c:ext xmlns:c15="http://schemas.microsoft.com/office/drawing/2012/chart" uri="{CE6537A1-D6FC-4f65-9D91-7224C49458BB}"/>
          </c:extLst>
        </c:dLbl>
      </c:pivotFmt>
      <c:pivotFmt>
        <c:idx val="3"/>
        <c:spPr>
          <a:pattFill prst="ltUpDiag">
            <a:fgClr>
              <a:srgbClr val="C00000"/>
            </a:fgClr>
            <a:bgClr>
              <a:schemeClr val="bg1"/>
            </a:bgClr>
          </a:pattFill>
          <a:ln>
            <a:noFill/>
          </a:ln>
          <a:effectLst>
            <a:innerShdw blurRad="114300">
              <a:srgbClr val="F60000"/>
            </a:innerShdw>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dk1">
                      <a:lumMod val="75000"/>
                      <a:lumOff val="25000"/>
                    </a:schemeClr>
                  </a:solidFill>
                  <a:latin typeface="+mn-lt"/>
                  <a:ea typeface="+mn-ea"/>
                  <a:cs typeface="+mn-cs"/>
                </a:defRPr>
              </a:pPr>
              <a:endParaRPr lang="fr-FR"/>
            </a:p>
          </c:txPr>
          <c:showLegendKey val="0"/>
          <c:showVal val="1"/>
          <c:showCatName val="0"/>
          <c:showSerName val="0"/>
          <c:showPercent val="0"/>
          <c:showBubbleSize val="0"/>
          <c:extLst>
            <c:ext xmlns:c15="http://schemas.microsoft.com/office/drawing/2012/chart" uri="{CE6537A1-D6FC-4f65-9D91-7224C49458BB}"/>
          </c:extLst>
        </c:dLbl>
      </c:pivotFmt>
      <c:pivotFmt>
        <c:idx val="4"/>
        <c:spPr>
          <a:pattFill prst="ltUpDiag">
            <a:fgClr>
              <a:schemeClr val="accent1"/>
            </a:fgClr>
            <a:bgClr>
              <a:schemeClr val="bg1"/>
            </a:bgClr>
          </a:pattFill>
          <a:ln>
            <a:noFill/>
          </a:ln>
          <a:effectLst>
            <a:innerShdw blurRad="114300">
              <a:srgbClr val="0070C0"/>
            </a:innerShdw>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dk1">
                      <a:lumMod val="75000"/>
                      <a:lumOff val="25000"/>
                    </a:schemeClr>
                  </a:solidFill>
                  <a:latin typeface="+mn-lt"/>
                  <a:ea typeface="+mn-ea"/>
                  <a:cs typeface="+mn-cs"/>
                </a:defRPr>
              </a:pPr>
              <a:endParaRPr lang="fr-FR"/>
            </a:p>
          </c:txPr>
          <c:showLegendKey val="0"/>
          <c:showVal val="1"/>
          <c:showCatName val="0"/>
          <c:showSerName val="0"/>
          <c:showPercent val="0"/>
          <c:showBubbleSize val="0"/>
          <c:extLst>
            <c:ext xmlns:c15="http://schemas.microsoft.com/office/drawing/2012/chart" uri="{CE6537A1-D6FC-4f65-9D91-7224C49458BB}"/>
          </c:extLst>
        </c:dLbl>
      </c:pivotFmt>
      <c:pivotFmt>
        <c:idx val="5"/>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dk1">
                      <a:lumMod val="75000"/>
                      <a:lumOff val="25000"/>
                    </a:schemeClr>
                  </a:solidFill>
                  <a:latin typeface="+mn-lt"/>
                  <a:ea typeface="+mn-ea"/>
                  <a:cs typeface="+mn-cs"/>
                </a:defRPr>
              </a:pPr>
              <a:endParaRPr lang="fr-FR"/>
            </a:p>
          </c:txPr>
          <c:showLegendKey val="0"/>
          <c:showVal val="0"/>
          <c:showCatName val="0"/>
          <c:showSerName val="0"/>
          <c:showPercent val="0"/>
          <c:showBubbleSize val="0"/>
          <c:extLst>
            <c:ext xmlns:c15="http://schemas.microsoft.com/office/drawing/2012/chart" uri="{CE6537A1-D6FC-4f65-9D91-7224C49458BB}"/>
          </c:extLst>
        </c:dLbl>
      </c:pivotFmt>
      <c:pivotFmt>
        <c:idx val="6"/>
        <c:spPr>
          <a:pattFill prst="ltUpDiag">
            <a:fgClr>
              <a:srgbClr val="C00000"/>
            </a:fgClr>
            <a:bgClr>
              <a:schemeClr val="bg1"/>
            </a:bgClr>
          </a:pattFill>
          <a:ln>
            <a:noFill/>
          </a:ln>
          <a:effectLst>
            <a:innerShdw blurRad="114300">
              <a:srgbClr val="C00000"/>
            </a:innerShdw>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dk1">
                      <a:lumMod val="75000"/>
                      <a:lumOff val="25000"/>
                    </a:schemeClr>
                  </a:solidFill>
                  <a:latin typeface="+mn-lt"/>
                  <a:ea typeface="+mn-ea"/>
                  <a:cs typeface="+mn-cs"/>
                </a:defRPr>
              </a:pPr>
              <a:endParaRPr lang="fr-FR"/>
            </a:p>
          </c:txPr>
          <c:showLegendKey val="0"/>
          <c:showVal val="1"/>
          <c:showCatName val="0"/>
          <c:showSerName val="0"/>
          <c:showPercent val="0"/>
          <c:showBubbleSize val="0"/>
          <c:extLst>
            <c:ext xmlns:c15="http://schemas.microsoft.com/office/drawing/2012/chart" uri="{CE6537A1-D6FC-4f65-9D91-7224C49458BB}"/>
          </c:extLst>
        </c:dLbl>
      </c:pivotFmt>
    </c:pivotFmts>
    <c:plotArea>
      <c:layout>
        <c:manualLayout>
          <c:layoutTarget val="inner"/>
          <c:xMode val="edge"/>
          <c:yMode val="edge"/>
          <c:x val="7.8325000000000006E-2"/>
          <c:y val="0.1234812091503268"/>
          <c:w val="0.80132546296296292"/>
          <c:h val="0.75616830065359464"/>
        </c:manualLayout>
      </c:layout>
      <c:barChart>
        <c:barDir val="col"/>
        <c:grouping val="clustered"/>
        <c:varyColors val="0"/>
        <c:ser>
          <c:idx val="0"/>
          <c:order val="0"/>
          <c:tx>
            <c:strRef>
              <c:f>'Général - Tableau Drawdown'!$B$7</c:f>
              <c:strCache>
                <c:ptCount val="1"/>
                <c:pt idx="0">
                  <c:v>Total</c:v>
                </c:pt>
              </c:strCache>
            </c:strRef>
          </c:tx>
          <c:spPr>
            <a:pattFill prst="ltUpDiag">
              <a:fgClr>
                <a:srgbClr val="C00000"/>
              </a:fgClr>
              <a:bgClr>
                <a:schemeClr val="bg1"/>
              </a:bgClr>
            </a:pattFill>
            <a:ln>
              <a:noFill/>
            </a:ln>
            <a:effectLst>
              <a:innerShdw blurRad="114300">
                <a:srgbClr val="C00000"/>
              </a:innerShdw>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dk1">
                        <a:lumMod val="75000"/>
                        <a:lumOff val="25000"/>
                      </a:schemeClr>
                    </a:solidFill>
                    <a:latin typeface="+mn-lt"/>
                    <a:ea typeface="+mn-ea"/>
                    <a:cs typeface="+mn-cs"/>
                  </a:defRPr>
                </a:pPr>
                <a:endParaRPr lang="fr-FR"/>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dk1">
                          <a:lumMod val="35000"/>
                          <a:lumOff val="65000"/>
                        </a:schemeClr>
                      </a:solidFill>
                      <a:round/>
                    </a:ln>
                    <a:effectLst/>
                  </c:spPr>
                </c15:leaderLines>
              </c:ext>
            </c:extLst>
          </c:dLbls>
          <c:cat>
            <c:strRef>
              <c:f>'Général - Tableau Drawdown'!$A$8:$A$23</c:f>
              <c:strCache>
                <c:ptCount val="15"/>
                <c:pt idx="0">
                  <c:v>03/02/2020</c:v>
                </c:pt>
                <c:pt idx="1">
                  <c:v>04/02/2020</c:v>
                </c:pt>
                <c:pt idx="2">
                  <c:v>05/02/2020</c:v>
                </c:pt>
                <c:pt idx="3">
                  <c:v>06/02/2020</c:v>
                </c:pt>
                <c:pt idx="4">
                  <c:v>07/02/2020</c:v>
                </c:pt>
                <c:pt idx="5">
                  <c:v>10/02/2020</c:v>
                </c:pt>
                <c:pt idx="6">
                  <c:v>11/02/2020</c:v>
                </c:pt>
                <c:pt idx="7">
                  <c:v>12/02/2020</c:v>
                </c:pt>
                <c:pt idx="8">
                  <c:v>13/02/2020</c:v>
                </c:pt>
                <c:pt idx="9">
                  <c:v>14/02/2020</c:v>
                </c:pt>
                <c:pt idx="10">
                  <c:v>17/02/2020</c:v>
                </c:pt>
                <c:pt idx="11">
                  <c:v>18/02/2020</c:v>
                </c:pt>
                <c:pt idx="12">
                  <c:v>19/02/2020</c:v>
                </c:pt>
                <c:pt idx="13">
                  <c:v>20/02/2020</c:v>
                </c:pt>
                <c:pt idx="14">
                  <c:v>21/02/2020</c:v>
                </c:pt>
              </c:strCache>
            </c:strRef>
          </c:cat>
          <c:val>
            <c:numRef>
              <c:f>'Général - Tableau Drawdown'!$B$8:$B$23</c:f>
              <c:numCache>
                <c:formatCode>0.00%</c:formatCode>
                <c:ptCount val="15"/>
                <c:pt idx="0">
                  <c:v>-1.3794206433297984E-2</c:v>
                </c:pt>
                <c:pt idx="1">
                  <c:v>-5.210703915875381E-2</c:v>
                </c:pt>
                <c:pt idx="2">
                  <c:v>-9.096170446519658E-2</c:v>
                </c:pt>
                <c:pt idx="3">
                  <c:v>-4.1189280389233307E-2</c:v>
                </c:pt>
                <c:pt idx="4">
                  <c:v>0</c:v>
                </c:pt>
                <c:pt idx="5">
                  <c:v>-6.5071615820067485E-2</c:v>
                </c:pt>
                <c:pt idx="6">
                  <c:v>-0.1251187264921545</c:v>
                </c:pt>
                <c:pt idx="7">
                  <c:v>-0.12956384635842089</c:v>
                </c:pt>
                <c:pt idx="8">
                  <c:v>-0.17597165761179279</c:v>
                </c:pt>
                <c:pt idx="9">
                  <c:v>-0.26388625052239656</c:v>
                </c:pt>
                <c:pt idx="10">
                  <c:v>-0.22414611906842441</c:v>
                </c:pt>
                <c:pt idx="11">
                  <c:v>-0.23844078872383256</c:v>
                </c:pt>
                <c:pt idx="12">
                  <c:v>0</c:v>
                </c:pt>
                <c:pt idx="13">
                  <c:v>0</c:v>
                </c:pt>
                <c:pt idx="14">
                  <c:v>0</c:v>
                </c:pt>
              </c:numCache>
            </c:numRef>
          </c:val>
          <c:extLst>
            <c:ext xmlns:c16="http://schemas.microsoft.com/office/drawing/2014/chart" uri="{C3380CC4-5D6E-409C-BE32-E72D297353CC}">
              <c16:uniqueId val="{00000000-0CB8-4B7F-B6FC-1BB122F6813C}"/>
            </c:ext>
          </c:extLst>
        </c:ser>
        <c:dLbls>
          <c:showLegendKey val="0"/>
          <c:showVal val="0"/>
          <c:showCatName val="0"/>
          <c:showSerName val="0"/>
          <c:showPercent val="0"/>
          <c:showBubbleSize val="0"/>
        </c:dLbls>
        <c:gapWidth val="267"/>
        <c:overlap val="-43"/>
        <c:axId val="1918809040"/>
        <c:axId val="1915982816"/>
      </c:barChart>
      <c:dateAx>
        <c:axId val="1918809040"/>
        <c:scaling>
          <c:orientation val="minMax"/>
        </c:scaling>
        <c:delete val="0"/>
        <c:axPos val="t"/>
        <c:majorGridlines>
          <c:spPr>
            <a:ln w="9525" cap="flat" cmpd="sng" algn="ctr">
              <a:noFill/>
              <a:round/>
            </a:ln>
            <a:effectLst/>
          </c:spPr>
        </c:majorGridlines>
        <c:numFmt formatCode="m/d/yyyy" sourceLinked="0"/>
        <c:majorTickMark val="none"/>
        <c:minorTickMark val="none"/>
        <c:tickLblPos val="high"/>
        <c:spPr>
          <a:noFill/>
          <a:ln w="9525" cap="flat" cmpd="sng" algn="ctr">
            <a:solidFill>
              <a:schemeClr val="dk1">
                <a:lumMod val="15000"/>
                <a:lumOff val="85000"/>
              </a:schemeClr>
            </a:solidFill>
            <a:round/>
          </a:ln>
          <a:effectLst/>
        </c:spPr>
        <c:txPr>
          <a:bodyPr rot="0" spcFirstLastPara="1" vertOverflow="ellipsis" wrap="square" anchor="ctr" anchorCtr="1"/>
          <a:lstStyle/>
          <a:p>
            <a:pPr>
              <a:defRPr sz="900" b="0" i="0" u="none" strike="noStrike" kern="1200" cap="none" spc="0" normalizeH="0" baseline="0">
                <a:solidFill>
                  <a:schemeClr val="dk1">
                    <a:lumMod val="65000"/>
                    <a:lumOff val="35000"/>
                  </a:schemeClr>
                </a:solidFill>
                <a:latin typeface="+mn-lt"/>
                <a:ea typeface="+mn-ea"/>
                <a:cs typeface="+mn-cs"/>
              </a:defRPr>
            </a:pPr>
            <a:endParaRPr lang="fr-FR"/>
          </a:p>
        </c:txPr>
        <c:crossAx val="1915982816"/>
        <c:crosses val="autoZero"/>
        <c:auto val="0"/>
        <c:lblOffset val="100"/>
        <c:baseTimeUnit val="days"/>
      </c:dateAx>
      <c:valAx>
        <c:axId val="1915982816"/>
        <c:scaling>
          <c:orientation val="maxMin"/>
        </c:scaling>
        <c:delete val="0"/>
        <c:axPos val="l"/>
        <c:majorGridlines>
          <c:spPr>
            <a:ln w="9525" cap="flat" cmpd="sng" algn="ctr">
              <a:solidFill>
                <a:schemeClr val="dk1">
                  <a:lumMod val="15000"/>
                  <a:lumOff val="85000"/>
                </a:schemeClr>
              </a:solidFill>
              <a:round/>
            </a:ln>
            <a:effectLst/>
          </c:spPr>
        </c:majorGridlines>
        <c:numFmt formatCode="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dk1">
                    <a:lumMod val="65000"/>
                    <a:lumOff val="35000"/>
                  </a:schemeClr>
                </a:solidFill>
                <a:latin typeface="+mn-lt"/>
                <a:ea typeface="+mn-ea"/>
                <a:cs typeface="+mn-cs"/>
              </a:defRPr>
            </a:pPr>
            <a:endParaRPr lang="fr-FR"/>
          </a:p>
        </c:txPr>
        <c:crossAx val="1918809040"/>
        <c:crosses val="autoZero"/>
        <c:crossBetween val="between"/>
      </c:valAx>
      <c:spPr>
        <a:pattFill prst="ltDnDiag">
          <a:fgClr>
            <a:schemeClr val="dk1">
              <a:lumMod val="15000"/>
              <a:lumOff val="85000"/>
            </a:schemeClr>
          </a:fgClr>
          <a:bgClr>
            <a:schemeClr val="lt1"/>
          </a:bgClr>
        </a:pattFill>
        <a:ln>
          <a:noFill/>
        </a:ln>
        <a:effectLst/>
      </c:spPr>
    </c:plotArea>
    <c:plotVisOnly val="1"/>
    <c:dispBlanksAs val="zero"/>
    <c:extLst>
      <c:ext xmlns:c16r3="http://schemas.microsoft.com/office/drawing/2017/03/chart" uri="{56B9EC1D-385E-4148-901F-78D8002777C0}">
        <c16r3:dataDisplayOptions16>
          <c16r3:dispNaAsBlank val="1"/>
        </c16r3:dataDisplayOptions16>
      </c:ext>
    </c:extLst>
    <c:showDLblsOverMax val="0"/>
  </c:chart>
  <c:spPr>
    <a:noFill/>
    <a:ln w="9525" cap="flat" cmpd="sng" algn="ctr">
      <a:noFill/>
      <a:round/>
    </a:ln>
    <a:effectLst/>
  </c:spPr>
  <c:txPr>
    <a:bodyPr/>
    <a:lstStyle/>
    <a:p>
      <a:pPr>
        <a:defRPr/>
      </a:pPr>
      <a:endParaRPr lang="fr-FR"/>
    </a:p>
  </c:txPr>
  <c:printSettings>
    <c:headerFooter/>
    <c:pageMargins b="0.75" l="0.7" r="0.7" t="0.75" header="0.3" footer="0.3"/>
    <c:pageSetup/>
  </c:printSettings>
  <c:extLst>
    <c:ext xmlns:c14="http://schemas.microsoft.com/office/drawing/2007/8/2/chart" uri="{781A3756-C4B2-4CAC-9D66-4F8BD8637D16}">
      <c14:pivotOptions>
        <c14:dropZoneFilter val="1"/>
        <c14:dropZoneCategories val="1"/>
        <c14:dropZoneData val="1"/>
      </c14:pivotOptions>
    </c:ext>
    <c:ext xmlns:c16="http://schemas.microsoft.com/office/drawing/2014/chart" uri="{E28EC0CA-F0BB-4C9C-879D-F8772B89E7AC}">
      <c16:pivotOptions16>
        <c16:showExpandCollapseFieldButtons val="1"/>
      </c16:pivotOptions16>
    </c:ext>
  </c:extLst>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pivotSource>
    <c:name>[Journal V0.5.8.xlsm]Général - évolution points!Tableau croisé dynamique1</c:name>
    <c:fmtId val="25"/>
  </c:pivotSource>
  <c:chart>
    <c:title>
      <c:tx>
        <c:rich>
          <a:bodyPr rot="0" spcFirstLastPara="1" vertOverflow="ellipsis" vert="horz" wrap="square" anchor="ctr" anchorCtr="1"/>
          <a:lstStyle/>
          <a:p>
            <a:pPr>
              <a:defRPr sz="1200" b="0" i="0" u="none" strike="noStrike" kern="1200" cap="none" spc="0" normalizeH="0" baseline="0">
                <a:solidFill>
                  <a:schemeClr val="dk1">
                    <a:lumMod val="50000"/>
                    <a:lumOff val="50000"/>
                  </a:schemeClr>
                </a:solidFill>
                <a:latin typeface="+mj-lt"/>
                <a:ea typeface="+mj-ea"/>
                <a:cs typeface="+mj-cs"/>
              </a:defRPr>
            </a:pPr>
            <a:r>
              <a:rPr lang="fr-FR" sz="1200" b="0">
                <a:latin typeface="+mj-lt"/>
              </a:rPr>
              <a:t>Evolution</a:t>
            </a:r>
            <a:r>
              <a:rPr lang="fr-FR" sz="1200" b="0" baseline="0">
                <a:latin typeface="+mj-lt"/>
              </a:rPr>
              <a:t>s points</a:t>
            </a:r>
            <a:endParaRPr lang="fr-FR" sz="1200" b="0">
              <a:latin typeface="+mj-lt"/>
            </a:endParaRPr>
          </a:p>
        </c:rich>
      </c:tx>
      <c:overlay val="0"/>
      <c:spPr>
        <a:noFill/>
        <a:ln>
          <a:noFill/>
        </a:ln>
        <a:effectLst/>
      </c:spPr>
      <c:txPr>
        <a:bodyPr rot="0" spcFirstLastPara="1" vertOverflow="ellipsis" vert="horz" wrap="square" anchor="ctr" anchorCtr="1"/>
        <a:lstStyle/>
        <a:p>
          <a:pPr>
            <a:defRPr sz="1200" b="0" i="0" u="none" strike="noStrike" kern="1200" cap="none" spc="0" normalizeH="0" baseline="0">
              <a:solidFill>
                <a:schemeClr val="dk1">
                  <a:lumMod val="50000"/>
                  <a:lumOff val="50000"/>
                </a:schemeClr>
              </a:solidFill>
              <a:latin typeface="+mj-lt"/>
              <a:ea typeface="+mj-ea"/>
              <a:cs typeface="+mj-cs"/>
            </a:defRPr>
          </a:pPr>
          <a:endParaRPr lang="fr-FR"/>
        </a:p>
      </c:txPr>
    </c:title>
    <c:autoTitleDeleted val="0"/>
    <c:pivotFmts>
      <c:pivotFmt>
        <c:idx val="0"/>
        <c:dLbl>
          <c:idx val="0"/>
          <c:showLegendKey val="0"/>
          <c:showVal val="0"/>
          <c:showCatName val="0"/>
          <c:showSerName val="0"/>
          <c:showPercent val="0"/>
          <c:showBubbleSize val="0"/>
          <c:extLst>
            <c:ext xmlns:c15="http://schemas.microsoft.com/office/drawing/2012/chart" uri="{CE6537A1-D6FC-4f65-9D91-7224C49458BB}"/>
          </c:extLst>
        </c:dLbl>
      </c:pivotFmt>
      <c:pivotFmt>
        <c:idx val="1"/>
        <c:dLbl>
          <c:idx val="0"/>
          <c:showLegendKey val="0"/>
          <c:showVal val="0"/>
          <c:showCatName val="0"/>
          <c:showSerName val="0"/>
          <c:showPercent val="0"/>
          <c:showBubbleSize val="0"/>
          <c:extLst>
            <c:ext xmlns:c15="http://schemas.microsoft.com/office/drawing/2012/chart" uri="{CE6537A1-D6FC-4f65-9D91-7224C49458BB}"/>
          </c:extLst>
        </c:dLbl>
      </c:pivotFmt>
      <c:pivotFmt>
        <c:idx val="2"/>
        <c:spPr>
          <a:solidFill>
            <a:schemeClr val="accent1"/>
          </a:solidFill>
          <a:ln w="22225" cap="rnd">
            <a:solidFill>
              <a:schemeClr val="accent1"/>
            </a:solidFill>
            <a:round/>
          </a:ln>
          <a:effectLst/>
        </c:spPr>
        <c:marker>
          <c:symbol val="circle"/>
          <c:size val="6"/>
          <c:spPr>
            <a:solidFill>
              <a:schemeClr val="lt1"/>
            </a:solidFill>
            <a:ln w="1587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dk1">
                      <a:lumMod val="75000"/>
                      <a:lumOff val="25000"/>
                    </a:schemeClr>
                  </a:solidFill>
                  <a:latin typeface="+mn-lt"/>
                  <a:ea typeface="+mn-ea"/>
                  <a:cs typeface="+mn-cs"/>
                </a:defRPr>
              </a:pPr>
              <a:endParaRPr lang="fr-FR"/>
            </a:p>
          </c:txPr>
          <c:dLblPos val="t"/>
          <c:showLegendKey val="0"/>
          <c:showVal val="1"/>
          <c:showCatName val="0"/>
          <c:showSerName val="0"/>
          <c:showPercent val="0"/>
          <c:showBubbleSize val="0"/>
          <c:extLst>
            <c:ext xmlns:c15="http://schemas.microsoft.com/office/drawing/2012/chart" uri="{CE6537A1-D6FC-4f65-9D91-7224C49458BB}"/>
          </c:extLst>
        </c:dLbl>
      </c:pivotFmt>
      <c:pivotFmt>
        <c:idx val="3"/>
        <c:spPr>
          <a:ln w="22225" cap="rnd">
            <a:solidFill>
              <a:schemeClr val="accent1"/>
            </a:solidFill>
            <a:round/>
          </a:ln>
          <a:effectLst/>
        </c:spPr>
        <c:marker>
          <c:symbol val="circle"/>
          <c:size val="6"/>
          <c:spPr>
            <a:solidFill>
              <a:schemeClr val="lt1"/>
            </a:solidFill>
            <a:ln w="1587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dk1">
                      <a:lumMod val="75000"/>
                      <a:lumOff val="25000"/>
                    </a:schemeClr>
                  </a:solidFill>
                  <a:latin typeface="+mn-lt"/>
                  <a:ea typeface="+mn-ea"/>
                  <a:cs typeface="+mn-cs"/>
                </a:defRPr>
              </a:pPr>
              <a:endParaRPr lang="fr-FR"/>
            </a:p>
          </c:txPr>
          <c:dLblPos val="b"/>
          <c:showLegendKey val="0"/>
          <c:showVal val="1"/>
          <c:showCatName val="0"/>
          <c:showSerName val="0"/>
          <c:showPercent val="0"/>
          <c:showBubbleSize val="0"/>
          <c:extLst>
            <c:ext xmlns:c15="http://schemas.microsoft.com/office/drawing/2012/chart" uri="{CE6537A1-D6FC-4f65-9D91-7224C49458BB}"/>
          </c:extLst>
        </c:dLbl>
      </c:pivotFmt>
    </c:pivotFmts>
    <c:plotArea>
      <c:layout>
        <c:manualLayout>
          <c:layoutTarget val="inner"/>
          <c:xMode val="edge"/>
          <c:yMode val="edge"/>
          <c:x val="7.1488888888888893E-2"/>
          <c:y val="0.12270751633986927"/>
          <c:w val="0.81294083333333333"/>
          <c:h val="0.76038071895424841"/>
        </c:manualLayout>
      </c:layout>
      <c:lineChart>
        <c:grouping val="standard"/>
        <c:varyColors val="0"/>
        <c:ser>
          <c:idx val="0"/>
          <c:order val="0"/>
          <c:tx>
            <c:strRef>
              <c:f>'Général - évolution points'!$B$7</c:f>
              <c:strCache>
                <c:ptCount val="1"/>
                <c:pt idx="0">
                  <c:v>Total</c:v>
                </c:pt>
              </c:strCache>
            </c:strRef>
          </c:tx>
          <c:spPr>
            <a:ln w="22225" cap="rnd">
              <a:solidFill>
                <a:schemeClr val="accent1"/>
              </a:solidFill>
              <a:round/>
            </a:ln>
            <a:effectLst/>
          </c:spPr>
          <c:marker>
            <c:symbol val="circle"/>
            <c:size val="6"/>
            <c:spPr>
              <a:solidFill>
                <a:schemeClr val="lt1"/>
              </a:solidFill>
              <a:ln w="15875">
                <a:solidFill>
                  <a:schemeClr val="accent1"/>
                </a:solidFill>
                <a:round/>
              </a:ln>
              <a:effectLst/>
            </c:spPr>
          </c:marker>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dk1">
                        <a:lumMod val="75000"/>
                        <a:lumOff val="25000"/>
                      </a:schemeClr>
                    </a:solidFill>
                    <a:latin typeface="+mn-lt"/>
                    <a:ea typeface="+mn-ea"/>
                    <a:cs typeface="+mn-cs"/>
                  </a:defRPr>
                </a:pPr>
                <a:endParaRPr lang="fr-FR"/>
              </a:p>
            </c:txPr>
            <c:dLblPos val="b"/>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dk1">
                          <a:lumMod val="35000"/>
                          <a:lumOff val="65000"/>
                        </a:schemeClr>
                      </a:solidFill>
                      <a:round/>
                    </a:ln>
                    <a:effectLst/>
                  </c:spPr>
                </c15:leaderLines>
              </c:ext>
            </c:extLst>
          </c:dLbls>
          <c:cat>
            <c:strRef>
              <c:f>'Général - évolution points'!$A$8:$A$23</c:f>
              <c:strCache>
                <c:ptCount val="15"/>
                <c:pt idx="0">
                  <c:v>03/02/2020</c:v>
                </c:pt>
                <c:pt idx="1">
                  <c:v>04/02/2020</c:v>
                </c:pt>
                <c:pt idx="2">
                  <c:v>05/02/2020</c:v>
                </c:pt>
                <c:pt idx="3">
                  <c:v>06/02/2020</c:v>
                </c:pt>
                <c:pt idx="4">
                  <c:v>07/02/2020</c:v>
                </c:pt>
                <c:pt idx="5">
                  <c:v>10/02/2020</c:v>
                </c:pt>
                <c:pt idx="6">
                  <c:v>11/02/2020</c:v>
                </c:pt>
                <c:pt idx="7">
                  <c:v>12/02/2020</c:v>
                </c:pt>
                <c:pt idx="8">
                  <c:v>13/02/2020</c:v>
                </c:pt>
                <c:pt idx="9">
                  <c:v>14/02/2020</c:v>
                </c:pt>
                <c:pt idx="10">
                  <c:v>17/02/2020</c:v>
                </c:pt>
                <c:pt idx="11">
                  <c:v>18/02/2020</c:v>
                </c:pt>
                <c:pt idx="12">
                  <c:v>19/02/2020</c:v>
                </c:pt>
                <c:pt idx="13">
                  <c:v>20/02/2020</c:v>
                </c:pt>
                <c:pt idx="14">
                  <c:v>21/02/2020</c:v>
                </c:pt>
              </c:strCache>
            </c:strRef>
          </c:cat>
          <c:val>
            <c:numRef>
              <c:f>'Général - évolution points'!$B$8:$B$23</c:f>
              <c:numCache>
                <c:formatCode>General</c:formatCode>
                <c:ptCount val="15"/>
                <c:pt idx="0">
                  <c:v>22.1</c:v>
                </c:pt>
                <c:pt idx="1">
                  <c:v>26.199999999999996</c:v>
                </c:pt>
                <c:pt idx="2">
                  <c:v>38.700000000000024</c:v>
                </c:pt>
                <c:pt idx="3">
                  <c:v>72.000000000000028</c:v>
                </c:pt>
                <c:pt idx="4">
                  <c:v>104.80000000000003</c:v>
                </c:pt>
                <c:pt idx="5">
                  <c:v>-33.999999999999957</c:v>
                </c:pt>
                <c:pt idx="6">
                  <c:v>-172.19999999999993</c:v>
                </c:pt>
                <c:pt idx="7">
                  <c:v>-173.19999999999993</c:v>
                </c:pt>
                <c:pt idx="8">
                  <c:v>-287.69999999999993</c:v>
                </c:pt>
                <c:pt idx="9">
                  <c:v>-497.39999999999986</c:v>
                </c:pt>
                <c:pt idx="10">
                  <c:v>-386.49999999999989</c:v>
                </c:pt>
                <c:pt idx="11">
                  <c:v>-352.09999999999991</c:v>
                </c:pt>
                <c:pt idx="12">
                  <c:v>-352.09999999999991</c:v>
                </c:pt>
                <c:pt idx="13">
                  <c:v>-295.49999999999989</c:v>
                </c:pt>
                <c:pt idx="14">
                  <c:v>-294.49999999999989</c:v>
                </c:pt>
              </c:numCache>
            </c:numRef>
          </c:val>
          <c:smooth val="0"/>
          <c:extLst>
            <c:ext xmlns:c16="http://schemas.microsoft.com/office/drawing/2014/chart" uri="{C3380CC4-5D6E-409C-BE32-E72D297353CC}">
              <c16:uniqueId val="{00000000-AC43-46D7-9E2D-B6824BC6B0F6}"/>
            </c:ext>
          </c:extLst>
        </c:ser>
        <c:dLbls>
          <c:showLegendKey val="0"/>
          <c:showVal val="0"/>
          <c:showCatName val="0"/>
          <c:showSerName val="0"/>
          <c:showPercent val="0"/>
          <c:showBubbleSize val="0"/>
        </c:dLbls>
        <c:dropLines>
          <c:spPr>
            <a:ln w="9525" cap="flat" cmpd="sng" algn="ctr">
              <a:gradFill>
                <a:gsLst>
                  <a:gs pos="0">
                    <a:schemeClr val="accent1">
                      <a:lumMod val="5000"/>
                      <a:lumOff val="95000"/>
                    </a:schemeClr>
                  </a:gs>
                  <a:gs pos="74000">
                    <a:schemeClr val="accent1">
                      <a:lumMod val="45000"/>
                      <a:lumOff val="55000"/>
                    </a:schemeClr>
                  </a:gs>
                  <a:gs pos="83000">
                    <a:schemeClr val="accent1">
                      <a:lumMod val="45000"/>
                      <a:lumOff val="55000"/>
                    </a:schemeClr>
                  </a:gs>
                  <a:gs pos="100000">
                    <a:schemeClr val="accent1">
                      <a:lumMod val="30000"/>
                      <a:lumOff val="70000"/>
                    </a:schemeClr>
                  </a:gs>
                </a:gsLst>
                <a:lin ang="16800000" scaled="0"/>
              </a:gradFill>
              <a:round/>
            </a:ln>
            <a:effectLst/>
          </c:spPr>
        </c:dropLines>
        <c:marker val="1"/>
        <c:smooth val="0"/>
        <c:axId val="1237834800"/>
        <c:axId val="1956591280"/>
      </c:lineChart>
      <c:catAx>
        <c:axId val="1237834800"/>
        <c:scaling>
          <c:orientation val="minMax"/>
        </c:scaling>
        <c:delete val="0"/>
        <c:axPos val="b"/>
        <c:numFmt formatCode="General" sourceLinked="1"/>
        <c:majorTickMark val="none"/>
        <c:minorTickMark val="none"/>
        <c:tickLblPos val="nextTo"/>
        <c:spPr>
          <a:noFill/>
          <a:ln w="9525" cap="flat" cmpd="sng" algn="ctr">
            <a:solidFill>
              <a:schemeClr val="dk1">
                <a:lumMod val="15000"/>
                <a:lumOff val="85000"/>
              </a:schemeClr>
            </a:solidFill>
            <a:round/>
          </a:ln>
          <a:effectLst/>
        </c:spPr>
        <c:txPr>
          <a:bodyPr rot="0" spcFirstLastPara="1" vertOverflow="ellipsis" wrap="square" anchor="ctr" anchorCtr="1"/>
          <a:lstStyle/>
          <a:p>
            <a:pPr>
              <a:defRPr sz="900" b="0" i="0" u="none" strike="noStrike" kern="1200" cap="none" spc="0" normalizeH="0" baseline="0">
                <a:solidFill>
                  <a:schemeClr val="dk1">
                    <a:lumMod val="65000"/>
                    <a:lumOff val="35000"/>
                  </a:schemeClr>
                </a:solidFill>
                <a:latin typeface="+mn-lt"/>
                <a:ea typeface="+mn-ea"/>
                <a:cs typeface="+mn-cs"/>
              </a:defRPr>
            </a:pPr>
            <a:endParaRPr lang="fr-FR"/>
          </a:p>
        </c:txPr>
        <c:crossAx val="1956591280"/>
        <c:crosses val="autoZero"/>
        <c:auto val="1"/>
        <c:lblAlgn val="ctr"/>
        <c:lblOffset val="100"/>
        <c:noMultiLvlLbl val="0"/>
      </c:catAx>
      <c:valAx>
        <c:axId val="1956591280"/>
        <c:scaling>
          <c:orientation val="minMax"/>
        </c:scaling>
        <c:delete val="0"/>
        <c:axPos val="l"/>
        <c:majorGridlines>
          <c:spPr>
            <a:ln w="9525" cap="flat" cmpd="sng" algn="ctr">
              <a:solidFill>
                <a:schemeClr val="dk1">
                  <a:lumMod val="15000"/>
                  <a:lumOff val="85000"/>
                  <a:alpha val="54000"/>
                </a:schemeClr>
              </a:solidFill>
              <a:round/>
            </a:ln>
            <a:effectLst/>
          </c:spPr>
        </c:majorGridlines>
        <c:numFmt formatCode="General\ &quot;Pts&quot;" sourceLinked="0"/>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dk1">
                    <a:lumMod val="65000"/>
                    <a:lumOff val="35000"/>
                  </a:schemeClr>
                </a:solidFill>
                <a:latin typeface="+mn-lt"/>
                <a:ea typeface="+mn-ea"/>
                <a:cs typeface="+mn-cs"/>
              </a:defRPr>
            </a:pPr>
            <a:endParaRPr lang="fr-FR"/>
          </a:p>
        </c:txPr>
        <c:crossAx val="1237834800"/>
        <c:crosses val="autoZero"/>
        <c:crossBetween val="between"/>
      </c:valAx>
      <c:spPr>
        <a:pattFill prst="ltDnDiag">
          <a:fgClr>
            <a:schemeClr val="dk1">
              <a:lumMod val="15000"/>
              <a:lumOff val="85000"/>
            </a:schemeClr>
          </a:fgClr>
          <a:bgClr>
            <a:schemeClr val="lt1"/>
          </a:bgClr>
        </a:patt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noFill/>
    <a:ln w="9525" cap="flat" cmpd="sng" algn="ctr">
      <a:noFill/>
      <a:round/>
    </a:ln>
    <a:effectLst/>
  </c:spPr>
  <c:txPr>
    <a:bodyPr/>
    <a:lstStyle/>
    <a:p>
      <a:pPr>
        <a:defRPr/>
      </a:pPr>
      <a:endParaRPr lang="fr-FR"/>
    </a:p>
  </c:txPr>
  <c:printSettings>
    <c:headerFooter/>
    <c:pageMargins b="0.75" l="0.7" r="0.7" t="0.75" header="0.3" footer="0.3"/>
    <c:pageSetup/>
  </c:printSettings>
  <c:extLst>
    <c:ext xmlns:c14="http://schemas.microsoft.com/office/drawing/2007/8/2/chart" uri="{781A3756-C4B2-4CAC-9D66-4F8BD8637D16}">
      <c14:pivotOptions>
        <c14:dropZoneFilter val="1"/>
        <c14:dropZoneCategories val="1"/>
        <c14:dropZoneData val="1"/>
      </c14:pivotOptions>
    </c:ext>
    <c:ext xmlns:c16="http://schemas.microsoft.com/office/drawing/2014/chart" uri="{E28EC0CA-F0BB-4C9C-879D-F8772B89E7AC}">
      <c16:pivotOptions16>
        <c16:showExpandCollapseFieldButtons val="1"/>
      </c16:pivotOptions16>
    </c:ext>
  </c:extLst>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pivotSource>
    <c:name>[Journal V0.5.8.xlsm]Général - Gain Equité!Tableau croisé dynamique1</c:name>
    <c:fmtId val="15"/>
  </c:pivotSource>
  <c:chart>
    <c:title>
      <c:tx>
        <c:rich>
          <a:bodyPr rot="0" spcFirstLastPara="1" vertOverflow="ellipsis" vert="horz" wrap="square" anchor="ctr" anchorCtr="1"/>
          <a:lstStyle/>
          <a:p>
            <a:pPr>
              <a:defRPr sz="1200" b="0" i="0" u="none" strike="noStrike" kern="1200" cap="none" spc="0" normalizeH="0" baseline="0">
                <a:solidFill>
                  <a:schemeClr val="dk1">
                    <a:lumMod val="50000"/>
                    <a:lumOff val="50000"/>
                  </a:schemeClr>
                </a:solidFill>
                <a:latin typeface="Cambria" panose="02040503050406030204" pitchFamily="18" charset="0"/>
                <a:ea typeface="+mj-ea"/>
                <a:cs typeface="+mj-cs"/>
              </a:defRPr>
            </a:pPr>
            <a:r>
              <a:rPr lang="fr-FR" sz="1200" b="0" baseline="0">
                <a:latin typeface="Cambria" panose="02040503050406030204" pitchFamily="18" charset="0"/>
              </a:rPr>
              <a:t>Variations</a:t>
            </a:r>
          </a:p>
        </c:rich>
      </c:tx>
      <c:overlay val="0"/>
      <c:spPr>
        <a:noFill/>
        <a:ln>
          <a:noFill/>
        </a:ln>
        <a:effectLst/>
      </c:spPr>
      <c:txPr>
        <a:bodyPr rot="0" spcFirstLastPara="1" vertOverflow="ellipsis" vert="horz" wrap="square" anchor="ctr" anchorCtr="1"/>
        <a:lstStyle/>
        <a:p>
          <a:pPr>
            <a:defRPr sz="1200" b="0" i="0" u="none" strike="noStrike" kern="1200" cap="none" spc="0" normalizeH="0" baseline="0">
              <a:solidFill>
                <a:schemeClr val="dk1">
                  <a:lumMod val="50000"/>
                  <a:lumOff val="50000"/>
                </a:schemeClr>
              </a:solidFill>
              <a:latin typeface="Cambria" panose="02040503050406030204" pitchFamily="18" charset="0"/>
              <a:ea typeface="+mj-ea"/>
              <a:cs typeface="+mj-cs"/>
            </a:defRPr>
          </a:pPr>
          <a:endParaRPr lang="fr-FR"/>
        </a:p>
      </c:txPr>
    </c:title>
    <c:autoTitleDeleted val="0"/>
    <c:pivotFmts>
      <c:pivotFmt>
        <c:idx val="0"/>
        <c:dLbl>
          <c:idx val="0"/>
          <c:showLegendKey val="0"/>
          <c:showVal val="0"/>
          <c:showCatName val="0"/>
          <c:showSerName val="0"/>
          <c:showPercent val="0"/>
          <c:showBubbleSize val="0"/>
          <c:extLst>
            <c:ext xmlns:c15="http://schemas.microsoft.com/office/drawing/2012/chart" uri="{CE6537A1-D6FC-4f65-9D91-7224C49458BB}"/>
          </c:extLst>
        </c:dLbl>
      </c:pivotFmt>
      <c:pivotFmt>
        <c:idx val="1"/>
        <c:dLbl>
          <c:idx val="0"/>
          <c:showLegendKey val="0"/>
          <c:showVal val="0"/>
          <c:showCatName val="0"/>
          <c:showSerName val="0"/>
          <c:showPercent val="0"/>
          <c:showBubbleSize val="0"/>
          <c:extLst>
            <c:ext xmlns:c15="http://schemas.microsoft.com/office/drawing/2012/chart" uri="{CE6537A1-D6FC-4f65-9D91-7224C49458BB}"/>
          </c:extLst>
        </c:dLbl>
      </c:pivotFmt>
      <c:pivotFmt>
        <c:idx val="2"/>
        <c:dLbl>
          <c:idx val="0"/>
          <c:showLegendKey val="0"/>
          <c:showVal val="0"/>
          <c:showCatName val="0"/>
          <c:showSerName val="0"/>
          <c:showPercent val="0"/>
          <c:showBubbleSize val="0"/>
          <c:extLst>
            <c:ext xmlns:c15="http://schemas.microsoft.com/office/drawing/2012/chart" uri="{CE6537A1-D6FC-4f65-9D91-7224C49458BB}"/>
          </c:extLst>
        </c:dLbl>
      </c:pivotFmt>
      <c:pivotFmt>
        <c:idx val="3"/>
        <c:dLbl>
          <c:idx val="0"/>
          <c:showLegendKey val="0"/>
          <c:showVal val="0"/>
          <c:showCatName val="0"/>
          <c:showSerName val="0"/>
          <c:showPercent val="0"/>
          <c:showBubbleSize val="0"/>
          <c:extLst>
            <c:ext xmlns:c15="http://schemas.microsoft.com/office/drawing/2012/chart" uri="{CE6537A1-D6FC-4f65-9D91-7224C49458BB}"/>
          </c:extLst>
        </c:dLbl>
      </c:pivotFmt>
      <c:pivotFmt>
        <c:idx val="4"/>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dk1">
                      <a:lumMod val="75000"/>
                      <a:lumOff val="25000"/>
                    </a:schemeClr>
                  </a:solidFill>
                  <a:latin typeface="+mn-lt"/>
                  <a:ea typeface="+mn-ea"/>
                  <a:cs typeface="+mn-cs"/>
                </a:defRPr>
              </a:pPr>
              <a:endParaRPr lang="fr-FR"/>
            </a:p>
          </c:txPr>
          <c:dLblPos val="inBase"/>
          <c:showLegendKey val="0"/>
          <c:showVal val="1"/>
          <c:showCatName val="0"/>
          <c:showSerName val="0"/>
          <c:showPercent val="0"/>
          <c:showBubbleSize val="0"/>
          <c:extLst>
            <c:ext xmlns:c15="http://schemas.microsoft.com/office/drawing/2012/chart" uri="{CE6537A1-D6FC-4f65-9D91-7224C49458BB}"/>
          </c:extLst>
        </c:dLbl>
      </c:pivotFmt>
      <c:pivotFmt>
        <c:idx val="5"/>
        <c:spPr>
          <a:solidFill>
            <a:schemeClr val="accent1"/>
          </a:solidFill>
          <a:ln>
            <a:noFill/>
          </a:ln>
          <a:effectLst/>
        </c:spPr>
        <c:marker>
          <c:symbol val="circle"/>
          <c:size val="6"/>
          <c:spPr>
            <a:solidFill>
              <a:schemeClr val="lt1"/>
            </a:solidFill>
            <a:ln w="1587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dk1">
                      <a:lumMod val="75000"/>
                      <a:lumOff val="25000"/>
                    </a:schemeClr>
                  </a:solidFill>
                  <a:latin typeface="+mn-lt"/>
                  <a:ea typeface="+mn-ea"/>
                  <a:cs typeface="+mn-cs"/>
                </a:defRPr>
              </a:pPr>
              <a:endParaRPr lang="fr-FR"/>
            </a:p>
          </c:txPr>
          <c:showLegendKey val="0"/>
          <c:showVal val="1"/>
          <c:showCatName val="0"/>
          <c:showSerName val="0"/>
          <c:showPercent val="0"/>
          <c:showBubbleSize val="0"/>
          <c:extLst>
            <c:ext xmlns:c15="http://schemas.microsoft.com/office/drawing/2012/chart" uri="{CE6537A1-D6FC-4f65-9D91-7224C49458BB}"/>
          </c:extLst>
        </c:dLbl>
      </c:pivotFmt>
      <c:pivotFmt>
        <c:idx val="6"/>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dk1">
                      <a:lumMod val="75000"/>
                      <a:lumOff val="25000"/>
                    </a:schemeClr>
                  </a:solidFill>
                  <a:latin typeface="+mn-lt"/>
                  <a:ea typeface="+mn-ea"/>
                  <a:cs typeface="+mn-cs"/>
                </a:defRPr>
              </a:pPr>
              <a:endParaRPr lang="fr-FR"/>
            </a:p>
          </c:txPr>
          <c:showLegendKey val="0"/>
          <c:showVal val="0"/>
          <c:showCatName val="0"/>
          <c:showSerName val="0"/>
          <c:showPercent val="0"/>
          <c:showBubbleSize val="0"/>
          <c:extLst>
            <c:ext xmlns:c15="http://schemas.microsoft.com/office/drawing/2012/chart" uri="{CE6537A1-D6FC-4f65-9D91-7224C49458BB}"/>
          </c:extLst>
        </c:dLbl>
      </c:pivotFmt>
      <c:pivotFmt>
        <c:idx val="7"/>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dk1">
                      <a:lumMod val="75000"/>
                      <a:lumOff val="25000"/>
                    </a:schemeClr>
                  </a:solidFill>
                  <a:latin typeface="+mn-lt"/>
                  <a:ea typeface="+mn-ea"/>
                  <a:cs typeface="+mn-cs"/>
                </a:defRPr>
              </a:pPr>
              <a:endParaRPr lang="fr-FR"/>
            </a:p>
          </c:txPr>
          <c:showLegendKey val="0"/>
          <c:showVal val="0"/>
          <c:showCatName val="0"/>
          <c:showSerName val="0"/>
          <c:showPercent val="0"/>
          <c:showBubbleSize val="0"/>
          <c:extLst>
            <c:ext xmlns:c15="http://schemas.microsoft.com/office/drawing/2012/chart" uri="{CE6537A1-D6FC-4f65-9D91-7224C49458BB}"/>
          </c:extLst>
        </c:dLbl>
      </c:pivotFmt>
      <c:pivotFmt>
        <c:idx val="8"/>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dk1">
                      <a:lumMod val="75000"/>
                      <a:lumOff val="25000"/>
                    </a:schemeClr>
                  </a:solidFill>
                  <a:latin typeface="+mn-lt"/>
                  <a:ea typeface="+mn-ea"/>
                  <a:cs typeface="+mn-cs"/>
                </a:defRPr>
              </a:pPr>
              <a:endParaRPr lang="fr-FR"/>
            </a:p>
          </c:txPr>
          <c:showLegendKey val="0"/>
          <c:showVal val="0"/>
          <c:showCatName val="0"/>
          <c:showSerName val="0"/>
          <c:showPercent val="0"/>
          <c:showBubbleSize val="0"/>
          <c:extLst>
            <c:ext xmlns:c15="http://schemas.microsoft.com/office/drawing/2012/chart" uri="{CE6537A1-D6FC-4f65-9D91-7224C49458BB}"/>
          </c:extLst>
        </c:dLbl>
      </c:pivotFmt>
      <c:pivotFmt>
        <c:idx val="9"/>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dk1">
                      <a:lumMod val="75000"/>
                      <a:lumOff val="25000"/>
                    </a:schemeClr>
                  </a:solidFill>
                  <a:latin typeface="+mn-lt"/>
                  <a:ea typeface="+mn-ea"/>
                  <a:cs typeface="+mn-cs"/>
                </a:defRPr>
              </a:pPr>
              <a:endParaRPr lang="fr-FR"/>
            </a:p>
          </c:txPr>
          <c:showLegendKey val="0"/>
          <c:showVal val="0"/>
          <c:showCatName val="0"/>
          <c:showSerName val="0"/>
          <c:showPercent val="0"/>
          <c:showBubbleSize val="0"/>
          <c:extLst>
            <c:ext xmlns:c15="http://schemas.microsoft.com/office/drawing/2012/chart" uri="{CE6537A1-D6FC-4f65-9D91-7224C49458BB}"/>
          </c:extLst>
        </c:dLbl>
      </c:pivotFmt>
      <c:pivotFmt>
        <c:idx val="10"/>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dk1">
                      <a:lumMod val="75000"/>
                      <a:lumOff val="25000"/>
                    </a:schemeClr>
                  </a:solidFill>
                  <a:latin typeface="+mn-lt"/>
                  <a:ea typeface="+mn-ea"/>
                  <a:cs typeface="+mn-cs"/>
                </a:defRPr>
              </a:pPr>
              <a:endParaRPr lang="fr-FR"/>
            </a:p>
          </c:txPr>
          <c:showLegendKey val="0"/>
          <c:showVal val="0"/>
          <c:showCatName val="0"/>
          <c:showSerName val="0"/>
          <c:showPercent val="0"/>
          <c:showBubbleSize val="0"/>
          <c:extLst>
            <c:ext xmlns:c15="http://schemas.microsoft.com/office/drawing/2012/chart" uri="{CE6537A1-D6FC-4f65-9D91-7224C49458BB}"/>
          </c:extLst>
        </c:dLbl>
      </c:pivotFmt>
      <c:pivotFmt>
        <c:idx val="11"/>
        <c:spPr>
          <a:pattFill prst="ltUpDiag">
            <a:fgClr>
              <a:srgbClr val="C00000"/>
            </a:fgClr>
            <a:bgClr>
              <a:schemeClr val="bg1"/>
            </a:bgClr>
          </a:pattFill>
          <a:ln>
            <a:noFill/>
          </a:ln>
          <a:effectLst>
            <a:innerShdw blurRad="114300">
              <a:srgbClr val="C00000"/>
            </a:innerShdw>
          </a:effectLst>
        </c:spPr>
        <c:marker>
          <c:symbol val="none"/>
        </c:marker>
        <c:dLbl>
          <c:idx val="0"/>
          <c:numFmt formatCode="0.00%;\-\ 0.00%;&quot;&quot;" sourceLinked="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dk1">
                      <a:lumMod val="75000"/>
                      <a:lumOff val="25000"/>
                    </a:schemeClr>
                  </a:solidFill>
                  <a:latin typeface="+mn-lt"/>
                  <a:ea typeface="+mn-ea"/>
                  <a:cs typeface="+mn-cs"/>
                </a:defRPr>
              </a:pPr>
              <a:endParaRPr lang="fr-FR"/>
            </a:p>
          </c:txPr>
          <c:showLegendKey val="0"/>
          <c:showVal val="1"/>
          <c:showCatName val="0"/>
          <c:showSerName val="0"/>
          <c:showPercent val="0"/>
          <c:showBubbleSize val="0"/>
          <c:extLst>
            <c:ext xmlns:c15="http://schemas.microsoft.com/office/drawing/2012/chart" uri="{CE6537A1-D6FC-4f65-9D91-7224C49458BB}"/>
          </c:extLst>
        </c:dLbl>
      </c:pivotFmt>
      <c:pivotFmt>
        <c:idx val="12"/>
        <c:spPr>
          <a:pattFill prst="ltUpDiag">
            <a:fgClr>
              <a:srgbClr val="0070C0"/>
            </a:fgClr>
            <a:bgClr>
              <a:schemeClr val="bg1"/>
            </a:bgClr>
          </a:pattFill>
          <a:ln>
            <a:noFill/>
          </a:ln>
          <a:effectLst>
            <a:innerShdw blurRad="114300">
              <a:srgbClr val="0070C0"/>
            </a:innerShdw>
          </a:effectLst>
        </c:spPr>
        <c:marker>
          <c:symbol val="none"/>
        </c:marker>
        <c:dLbl>
          <c:idx val="0"/>
          <c:numFmt formatCode="\+\ 0.00%;\-\ 0.00%;&quot;&quot;" sourceLinked="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dk1">
                      <a:lumMod val="75000"/>
                      <a:lumOff val="25000"/>
                    </a:schemeClr>
                  </a:solidFill>
                  <a:latin typeface="+mn-lt"/>
                  <a:ea typeface="+mn-ea"/>
                  <a:cs typeface="+mn-cs"/>
                </a:defRPr>
              </a:pPr>
              <a:endParaRPr lang="fr-FR"/>
            </a:p>
          </c:txPr>
          <c:showLegendKey val="0"/>
          <c:showVal val="1"/>
          <c:showCatName val="0"/>
          <c:showSerName val="0"/>
          <c:showPercent val="0"/>
          <c:showBubbleSize val="0"/>
          <c:extLst>
            <c:ext xmlns:c15="http://schemas.microsoft.com/office/drawing/2012/chart" uri="{CE6537A1-D6FC-4f65-9D91-7224C49458BB}"/>
          </c:extLst>
        </c:dLbl>
      </c:pivotFmt>
      <c:pivotFmt>
        <c:idx val="13"/>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dk1">
                      <a:lumMod val="75000"/>
                      <a:lumOff val="25000"/>
                    </a:schemeClr>
                  </a:solidFill>
                  <a:latin typeface="+mn-lt"/>
                  <a:ea typeface="+mn-ea"/>
                  <a:cs typeface="+mn-cs"/>
                </a:defRPr>
              </a:pPr>
              <a:endParaRPr lang="fr-FR"/>
            </a:p>
          </c:txPr>
          <c:showLegendKey val="0"/>
          <c:showVal val="0"/>
          <c:showCatName val="0"/>
          <c:showSerName val="0"/>
          <c:showPercent val="0"/>
          <c:showBubbleSize val="0"/>
          <c:extLst>
            <c:ext xmlns:c15="http://schemas.microsoft.com/office/drawing/2012/chart" uri="{CE6537A1-D6FC-4f65-9D91-7224C49458BB}"/>
          </c:extLst>
        </c:dLbl>
      </c:pivotFmt>
      <c:pivotFmt>
        <c:idx val="14"/>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dk1">
                      <a:lumMod val="75000"/>
                      <a:lumOff val="25000"/>
                    </a:schemeClr>
                  </a:solidFill>
                  <a:latin typeface="+mn-lt"/>
                  <a:ea typeface="+mn-ea"/>
                  <a:cs typeface="+mn-cs"/>
                </a:defRPr>
              </a:pPr>
              <a:endParaRPr lang="fr-FR"/>
            </a:p>
          </c:txPr>
          <c:showLegendKey val="0"/>
          <c:showVal val="0"/>
          <c:showCatName val="0"/>
          <c:showSerName val="0"/>
          <c:showPercent val="0"/>
          <c:showBubbleSize val="0"/>
          <c:extLst>
            <c:ext xmlns:c15="http://schemas.microsoft.com/office/drawing/2012/chart" uri="{CE6537A1-D6FC-4f65-9D91-7224C49458BB}"/>
          </c:extLst>
        </c:dLbl>
      </c:pivotFmt>
    </c:pivotFmts>
    <c:plotArea>
      <c:layout>
        <c:manualLayout>
          <c:layoutTarget val="inner"/>
          <c:xMode val="edge"/>
          <c:yMode val="edge"/>
          <c:x val="7.7204027777777781E-2"/>
          <c:y val="0.13042401960784314"/>
          <c:w val="0.8083366666666667"/>
          <c:h val="0.72810761851828965"/>
        </c:manualLayout>
      </c:layout>
      <c:barChart>
        <c:barDir val="col"/>
        <c:grouping val="clustered"/>
        <c:varyColors val="0"/>
        <c:ser>
          <c:idx val="0"/>
          <c:order val="0"/>
          <c:tx>
            <c:strRef>
              <c:f>'Général - Gain Equité'!$B$7</c:f>
              <c:strCache>
                <c:ptCount val="1"/>
                <c:pt idx="0">
                  <c:v>% +</c:v>
                </c:pt>
              </c:strCache>
            </c:strRef>
          </c:tx>
          <c:spPr>
            <a:pattFill prst="ltUpDiag">
              <a:fgClr>
                <a:srgbClr val="0070C0"/>
              </a:fgClr>
              <a:bgClr>
                <a:schemeClr val="bg1"/>
              </a:bgClr>
            </a:pattFill>
            <a:ln>
              <a:noFill/>
            </a:ln>
            <a:effectLst>
              <a:innerShdw blurRad="114300">
                <a:srgbClr val="0070C0"/>
              </a:innerShdw>
            </a:effectLst>
          </c:spPr>
          <c:invertIfNegative val="0"/>
          <c:dLbls>
            <c:numFmt formatCode="\+\ 0.00%;\-\ 0.00%;&quot;&quot;" sourceLinked="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dk1">
                        <a:lumMod val="75000"/>
                        <a:lumOff val="25000"/>
                      </a:schemeClr>
                    </a:solidFill>
                    <a:latin typeface="+mn-lt"/>
                    <a:ea typeface="+mn-ea"/>
                    <a:cs typeface="+mn-cs"/>
                  </a:defRPr>
                </a:pPr>
                <a:endParaRPr lang="fr-FR"/>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dk1">
                          <a:lumMod val="35000"/>
                          <a:lumOff val="65000"/>
                        </a:schemeClr>
                      </a:solidFill>
                      <a:round/>
                    </a:ln>
                    <a:effectLst/>
                  </c:spPr>
                </c15:leaderLines>
              </c:ext>
            </c:extLst>
          </c:dLbls>
          <c:cat>
            <c:strRef>
              <c:f>'Général - Gain Equité'!$A$8:$A$22</c:f>
              <c:strCache>
                <c:ptCount val="15"/>
                <c:pt idx="0">
                  <c:v>03/02/2020</c:v>
                </c:pt>
                <c:pt idx="1">
                  <c:v>04/02/2020</c:v>
                </c:pt>
                <c:pt idx="2">
                  <c:v>05/02/2020</c:v>
                </c:pt>
                <c:pt idx="3">
                  <c:v>06/02/2020</c:v>
                </c:pt>
                <c:pt idx="4">
                  <c:v>07/02/2020</c:v>
                </c:pt>
                <c:pt idx="5">
                  <c:v>10/02/2020</c:v>
                </c:pt>
                <c:pt idx="6">
                  <c:v>11/02/2020</c:v>
                </c:pt>
                <c:pt idx="7">
                  <c:v>12/02/2020</c:v>
                </c:pt>
                <c:pt idx="8">
                  <c:v>13/02/2020</c:v>
                </c:pt>
                <c:pt idx="9">
                  <c:v>14/02/2020</c:v>
                </c:pt>
                <c:pt idx="10">
                  <c:v>17/02/2020</c:v>
                </c:pt>
                <c:pt idx="11">
                  <c:v>18/02/2020</c:v>
                </c:pt>
                <c:pt idx="12">
                  <c:v>19/02/2020</c:v>
                </c:pt>
                <c:pt idx="13">
                  <c:v>20/02/2020</c:v>
                </c:pt>
                <c:pt idx="14">
                  <c:v>21/02/2020</c:v>
                </c:pt>
              </c:strCache>
            </c:strRef>
          </c:cat>
          <c:val>
            <c:numRef>
              <c:f>'Général - Gain Equité'!$B$8:$B$22</c:f>
              <c:numCache>
                <c:formatCode>0.00%</c:formatCode>
                <c:ptCount val="15"/>
                <c:pt idx="0">
                  <c:v>1.0029999999999973E-2</c:v>
                </c:pt>
                <c:pt idx="1">
                  <c:v>1.8316287635019839E-3</c:v>
                </c:pt>
                <c:pt idx="2">
                  <c:v>5.6824919950982334E-3</c:v>
                </c:pt>
                <c:pt idx="3">
                  <c:v>1.5044760865933648E-2</c:v>
                </c:pt>
                <c:pt idx="4">
                  <c:v>1.4473251108486499E-2</c:v>
                </c:pt>
                <c:pt idx="5">
                  <c:v>0</c:v>
                </c:pt>
                <c:pt idx="6">
                  <c:v>0</c:v>
                </c:pt>
                <c:pt idx="7">
                  <c:v>0</c:v>
                </c:pt>
                <c:pt idx="8">
                  <c:v>0</c:v>
                </c:pt>
                <c:pt idx="9">
                  <c:v>0</c:v>
                </c:pt>
                <c:pt idx="10">
                  <c:v>5.4618650081934325E-2</c:v>
                </c:pt>
                <c:pt idx="11">
                  <c:v>1.7593657474245718E-2</c:v>
                </c:pt>
                <c:pt idx="12">
                  <c:v>0</c:v>
                </c:pt>
                <c:pt idx="13">
                  <c:v>2.8374933871976173E-2</c:v>
                </c:pt>
                <c:pt idx="14">
                  <c:v>5.0273581817325671E-4</c:v>
                </c:pt>
              </c:numCache>
            </c:numRef>
          </c:val>
          <c:extLst>
            <c:ext xmlns:c16="http://schemas.microsoft.com/office/drawing/2014/chart" uri="{C3380CC4-5D6E-409C-BE32-E72D297353CC}">
              <c16:uniqueId val="{00000000-43EE-463F-92B5-9A1D53109441}"/>
            </c:ext>
          </c:extLst>
        </c:ser>
        <c:ser>
          <c:idx val="1"/>
          <c:order val="1"/>
          <c:tx>
            <c:strRef>
              <c:f>'Général - Gain Equité'!$C$7</c:f>
              <c:strCache>
                <c:ptCount val="1"/>
                <c:pt idx="0">
                  <c:v>% -</c:v>
                </c:pt>
              </c:strCache>
            </c:strRef>
          </c:tx>
          <c:spPr>
            <a:pattFill prst="ltUpDiag">
              <a:fgClr>
                <a:srgbClr val="C00000"/>
              </a:fgClr>
              <a:bgClr>
                <a:schemeClr val="bg1"/>
              </a:bgClr>
            </a:pattFill>
            <a:ln>
              <a:noFill/>
            </a:ln>
            <a:effectLst>
              <a:innerShdw blurRad="114300">
                <a:srgbClr val="C00000"/>
              </a:innerShdw>
            </a:effectLst>
          </c:spPr>
          <c:invertIfNegative val="0"/>
          <c:dLbls>
            <c:numFmt formatCode="0.00%;\-\ 0.00%;&quot;&quot;" sourceLinked="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dk1">
                        <a:lumMod val="75000"/>
                        <a:lumOff val="25000"/>
                      </a:schemeClr>
                    </a:solidFill>
                    <a:latin typeface="+mn-lt"/>
                    <a:ea typeface="+mn-ea"/>
                    <a:cs typeface="+mn-cs"/>
                  </a:defRPr>
                </a:pPr>
                <a:endParaRPr lang="fr-FR"/>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dk1">
                          <a:lumMod val="35000"/>
                          <a:lumOff val="65000"/>
                        </a:schemeClr>
                      </a:solidFill>
                      <a:round/>
                    </a:ln>
                    <a:effectLst/>
                  </c:spPr>
                </c15:leaderLines>
              </c:ext>
            </c:extLst>
          </c:dLbls>
          <c:cat>
            <c:strRef>
              <c:f>'Général - Gain Equité'!$A$8:$A$22</c:f>
              <c:strCache>
                <c:ptCount val="15"/>
                <c:pt idx="0">
                  <c:v>03/02/2020</c:v>
                </c:pt>
                <c:pt idx="1">
                  <c:v>04/02/2020</c:v>
                </c:pt>
                <c:pt idx="2">
                  <c:v>05/02/2020</c:v>
                </c:pt>
                <c:pt idx="3">
                  <c:v>06/02/2020</c:v>
                </c:pt>
                <c:pt idx="4">
                  <c:v>07/02/2020</c:v>
                </c:pt>
                <c:pt idx="5">
                  <c:v>10/02/2020</c:v>
                </c:pt>
                <c:pt idx="6">
                  <c:v>11/02/2020</c:v>
                </c:pt>
                <c:pt idx="7">
                  <c:v>12/02/2020</c:v>
                </c:pt>
                <c:pt idx="8">
                  <c:v>13/02/2020</c:v>
                </c:pt>
                <c:pt idx="9">
                  <c:v>14/02/2020</c:v>
                </c:pt>
                <c:pt idx="10">
                  <c:v>17/02/2020</c:v>
                </c:pt>
                <c:pt idx="11">
                  <c:v>18/02/2020</c:v>
                </c:pt>
                <c:pt idx="12">
                  <c:v>19/02/2020</c:v>
                </c:pt>
                <c:pt idx="13">
                  <c:v>20/02/2020</c:v>
                </c:pt>
                <c:pt idx="14">
                  <c:v>21/02/2020</c:v>
                </c:pt>
              </c:strCache>
            </c:strRef>
          </c:cat>
          <c:val>
            <c:numRef>
              <c:f>'Général - Gain Equité'!$C$8:$C$22</c:f>
              <c:numCache>
                <c:formatCode>0.00%</c:formatCode>
                <c:ptCount val="15"/>
                <c:pt idx="0">
                  <c:v>0</c:v>
                </c:pt>
                <c:pt idx="1">
                  <c:v>0</c:v>
                </c:pt>
                <c:pt idx="2">
                  <c:v>0</c:v>
                </c:pt>
                <c:pt idx="3">
                  <c:v>0</c:v>
                </c:pt>
                <c:pt idx="4">
                  <c:v>0</c:v>
                </c:pt>
                <c:pt idx="5">
                  <c:v>-6.0655221444998846E-2</c:v>
                </c:pt>
                <c:pt idx="6">
                  <c:v>-6.4226428128777976E-2</c:v>
                </c:pt>
                <c:pt idx="7">
                  <c:v>-4.6682806613754056E-4</c:v>
                </c:pt>
                <c:pt idx="8">
                  <c:v>-5.7381500629969197E-2</c:v>
                </c:pt>
                <c:pt idx="9">
                  <c:v>-0.10697701215647869</c:v>
                </c:pt>
                <c:pt idx="10">
                  <c:v>0</c:v>
                </c:pt>
                <c:pt idx="11">
                  <c:v>0</c:v>
                </c:pt>
                <c:pt idx="12">
                  <c:v>0</c:v>
                </c:pt>
                <c:pt idx="13">
                  <c:v>0</c:v>
                </c:pt>
                <c:pt idx="14">
                  <c:v>0</c:v>
                </c:pt>
              </c:numCache>
            </c:numRef>
          </c:val>
          <c:extLst>
            <c:ext xmlns:c16="http://schemas.microsoft.com/office/drawing/2014/chart" uri="{C3380CC4-5D6E-409C-BE32-E72D297353CC}">
              <c16:uniqueId val="{00000001-43EE-463F-92B5-9A1D53109441}"/>
            </c:ext>
          </c:extLst>
        </c:ser>
        <c:dLbls>
          <c:showLegendKey val="0"/>
          <c:showVal val="0"/>
          <c:showCatName val="0"/>
          <c:showSerName val="0"/>
          <c:showPercent val="0"/>
          <c:showBubbleSize val="0"/>
        </c:dLbls>
        <c:gapWidth val="247"/>
        <c:axId val="1914152048"/>
        <c:axId val="1956627888"/>
      </c:barChart>
      <c:catAx>
        <c:axId val="1914152048"/>
        <c:scaling>
          <c:orientation val="minMax"/>
        </c:scaling>
        <c:delete val="0"/>
        <c:axPos val="b"/>
        <c:majorGridlines>
          <c:spPr>
            <a:ln w="9525" cap="flat" cmpd="sng" algn="ctr">
              <a:noFill/>
              <a:round/>
            </a:ln>
            <a:effectLst/>
          </c:spPr>
        </c:majorGridlines>
        <c:numFmt formatCode="General" sourceLinked="1"/>
        <c:majorTickMark val="out"/>
        <c:minorTickMark val="none"/>
        <c:tickLblPos val="low"/>
        <c:spPr>
          <a:noFill/>
          <a:ln w="9525" cap="flat" cmpd="sng" algn="ctr">
            <a:solidFill>
              <a:schemeClr val="dk1">
                <a:lumMod val="15000"/>
                <a:lumOff val="85000"/>
              </a:schemeClr>
            </a:solidFill>
            <a:round/>
          </a:ln>
          <a:effectLst/>
        </c:spPr>
        <c:txPr>
          <a:bodyPr rot="0" spcFirstLastPara="1" vertOverflow="ellipsis" wrap="square" anchor="ctr" anchorCtr="1"/>
          <a:lstStyle/>
          <a:p>
            <a:pPr>
              <a:defRPr sz="900" b="0" i="0" u="none" strike="noStrike" kern="1200" cap="none" spc="0" normalizeH="0" baseline="0">
                <a:solidFill>
                  <a:schemeClr val="dk1">
                    <a:lumMod val="65000"/>
                    <a:lumOff val="35000"/>
                  </a:schemeClr>
                </a:solidFill>
                <a:latin typeface="+mn-lt"/>
                <a:ea typeface="+mn-ea"/>
                <a:cs typeface="+mn-cs"/>
              </a:defRPr>
            </a:pPr>
            <a:endParaRPr lang="fr-FR"/>
          </a:p>
        </c:txPr>
        <c:crossAx val="1956627888"/>
        <c:crosses val="autoZero"/>
        <c:auto val="1"/>
        <c:lblAlgn val="ctr"/>
        <c:lblOffset val="100"/>
        <c:noMultiLvlLbl val="0"/>
      </c:catAx>
      <c:valAx>
        <c:axId val="1956627888"/>
        <c:scaling>
          <c:orientation val="minMax"/>
        </c:scaling>
        <c:delete val="0"/>
        <c:axPos val="l"/>
        <c:majorGridlines>
          <c:spPr>
            <a:ln w="9525" cap="flat" cmpd="sng" algn="ctr">
              <a:solidFill>
                <a:schemeClr val="dk1">
                  <a:lumMod val="15000"/>
                  <a:lumOff val="85000"/>
                </a:schemeClr>
              </a:solidFill>
              <a:round/>
            </a:ln>
            <a:effectLst/>
          </c:spPr>
        </c:majorGridlines>
        <c:numFmt formatCode="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dk1">
                    <a:lumMod val="65000"/>
                    <a:lumOff val="35000"/>
                  </a:schemeClr>
                </a:solidFill>
                <a:latin typeface="+mn-lt"/>
                <a:ea typeface="+mn-ea"/>
                <a:cs typeface="+mn-cs"/>
              </a:defRPr>
            </a:pPr>
            <a:endParaRPr lang="fr-FR"/>
          </a:p>
        </c:txPr>
        <c:crossAx val="1914152048"/>
        <c:crosses val="autoZero"/>
        <c:crossBetween val="between"/>
      </c:valAx>
      <c:spPr>
        <a:pattFill prst="ltDnDiag">
          <a:fgClr>
            <a:schemeClr val="dk1">
              <a:lumMod val="15000"/>
              <a:lumOff val="85000"/>
            </a:schemeClr>
          </a:fgClr>
          <a:bgClr>
            <a:schemeClr val="lt1"/>
          </a:bgClr>
        </a:patt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noFill/>
    <a:ln w="9525" cap="flat" cmpd="sng" algn="ctr">
      <a:noFill/>
      <a:round/>
    </a:ln>
    <a:effectLst/>
  </c:spPr>
  <c:txPr>
    <a:bodyPr/>
    <a:lstStyle/>
    <a:p>
      <a:pPr>
        <a:defRPr/>
      </a:pPr>
      <a:endParaRPr lang="fr-FR"/>
    </a:p>
  </c:txPr>
  <c:printSettings>
    <c:headerFooter/>
    <c:pageMargins b="0.75" l="0.7" r="0.7" t="0.75" header="0.3" footer="0.3"/>
    <c:pageSetup/>
  </c:printSettings>
  <c:extLst>
    <c:ext xmlns:c14="http://schemas.microsoft.com/office/drawing/2007/8/2/chart" uri="{781A3756-C4B2-4CAC-9D66-4F8BD8637D16}">
      <c14:pivotOptions>
        <c14:dropZoneFilter val="1"/>
        <c14:dropZoneCategories val="1"/>
        <c14:dropZoneData val="1"/>
      </c14:pivotOptions>
    </c:ext>
    <c:ext xmlns:c16="http://schemas.microsoft.com/office/drawing/2014/chart" uri="{E28EC0CA-F0BB-4C9C-879D-F8772B89E7AC}">
      <c16:pivotOptions16>
        <c16:showExpandCollapseFieldButtons val="1"/>
      </c16:pivotOptions16>
    </c:ext>
  </c:extLst>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200" b="1" i="0" u="none" strike="noStrike" kern="1200" cap="all" spc="150" baseline="0">
                <a:solidFill>
                  <a:schemeClr val="tx1">
                    <a:lumMod val="50000"/>
                    <a:lumOff val="50000"/>
                  </a:schemeClr>
                </a:solidFill>
                <a:latin typeface="Cambria" panose="02040503050406030204" pitchFamily="18" charset="0"/>
                <a:ea typeface="+mn-ea"/>
                <a:cs typeface="+mn-cs"/>
              </a:defRPr>
            </a:pPr>
            <a:r>
              <a:rPr lang="fr-FR" sz="1200" b="0" cap="none" baseline="0">
                <a:latin typeface="Cambria" panose="02040503050406030204" pitchFamily="18" charset="0"/>
              </a:rPr>
              <a:t>Profit factor</a:t>
            </a:r>
          </a:p>
        </c:rich>
      </c:tx>
      <c:overlay val="0"/>
      <c:spPr>
        <a:noFill/>
        <a:ln>
          <a:noFill/>
        </a:ln>
        <a:effectLst/>
      </c:spPr>
      <c:txPr>
        <a:bodyPr rot="0" spcFirstLastPara="1" vertOverflow="ellipsis" vert="horz" wrap="square" anchor="ctr" anchorCtr="1"/>
        <a:lstStyle/>
        <a:p>
          <a:pPr>
            <a:defRPr sz="1200" b="1" i="0" u="none" strike="noStrike" kern="1200" cap="all" spc="150" baseline="0">
              <a:solidFill>
                <a:schemeClr val="tx1">
                  <a:lumMod val="50000"/>
                  <a:lumOff val="50000"/>
                </a:schemeClr>
              </a:solidFill>
              <a:latin typeface="Cambria" panose="02040503050406030204" pitchFamily="18" charset="0"/>
              <a:ea typeface="+mn-ea"/>
              <a:cs typeface="+mn-cs"/>
            </a:defRPr>
          </a:pPr>
          <a:endParaRPr lang="fr-FR"/>
        </a:p>
      </c:txPr>
    </c:title>
    <c:autoTitleDeleted val="0"/>
    <c:plotArea>
      <c:layout>
        <c:manualLayout>
          <c:layoutTarget val="inner"/>
          <c:xMode val="edge"/>
          <c:yMode val="edge"/>
          <c:x val="0.18719047619047618"/>
          <c:y val="0.25247222222222221"/>
          <c:w val="0.64073809523809522"/>
          <c:h val="0.74752777777777779"/>
        </c:manualLayout>
      </c:layout>
      <c:doughnutChart>
        <c:varyColors val="1"/>
        <c:ser>
          <c:idx val="0"/>
          <c:order val="0"/>
          <c:explosion val="3"/>
          <c:dPt>
            <c:idx val="0"/>
            <c:bubble3D val="0"/>
            <c:spPr>
              <a:pattFill prst="ltUpDiag">
                <a:fgClr>
                  <a:schemeClr val="accent1"/>
                </a:fgClr>
                <a:bgClr>
                  <a:schemeClr val="accent1">
                    <a:lumMod val="20000"/>
                    <a:lumOff val="80000"/>
                  </a:schemeClr>
                </a:bgClr>
              </a:pattFill>
              <a:ln w="19050">
                <a:solidFill>
                  <a:schemeClr val="lt1"/>
                </a:solidFill>
              </a:ln>
              <a:effectLst>
                <a:innerShdw blurRad="114300">
                  <a:schemeClr val="accent1"/>
                </a:innerShdw>
              </a:effectLst>
            </c:spPr>
            <c:extLst>
              <c:ext xmlns:c16="http://schemas.microsoft.com/office/drawing/2014/chart" uri="{C3380CC4-5D6E-409C-BE32-E72D297353CC}">
                <c16:uniqueId val="{00000001-6EF7-46B7-BF76-82B670570CD6}"/>
              </c:ext>
            </c:extLst>
          </c:dPt>
          <c:dPt>
            <c:idx val="1"/>
            <c:bubble3D val="0"/>
            <c:spPr>
              <a:pattFill prst="ltUpDiag">
                <a:fgClr>
                  <a:schemeClr val="accent2"/>
                </a:fgClr>
                <a:bgClr>
                  <a:schemeClr val="accent2">
                    <a:lumMod val="20000"/>
                    <a:lumOff val="80000"/>
                  </a:schemeClr>
                </a:bgClr>
              </a:pattFill>
              <a:ln w="19050">
                <a:solidFill>
                  <a:schemeClr val="lt1"/>
                </a:solidFill>
              </a:ln>
              <a:effectLst>
                <a:innerShdw blurRad="114300">
                  <a:schemeClr val="accent2"/>
                </a:innerShdw>
              </a:effectLst>
            </c:spPr>
            <c:extLst>
              <c:ext xmlns:c16="http://schemas.microsoft.com/office/drawing/2014/chart" uri="{C3380CC4-5D6E-409C-BE32-E72D297353CC}">
                <c16:uniqueId val="{00000003-6EF7-46B7-BF76-82B670570CD6}"/>
              </c:ext>
            </c:extLst>
          </c:dPt>
          <c:dLbls>
            <c:dLbl>
              <c:idx val="1"/>
              <c:numFmt formatCode="0\ &quot;Pts&quot;;\-\ 0\ &quot;Pts&quot;;&quot;&quot;" sourceLinked="0"/>
              <c:spPr>
                <a:noFill/>
                <a:ln>
                  <a:noFill/>
                </a:ln>
                <a:effectLst/>
              </c:spPr>
              <c:txPr>
                <a:bodyPr rot="0" spcFirstLastPara="1" vertOverflow="overflow" horzOverflow="overflow" vert="horz" wrap="square" lIns="38100" tIns="19050" rIns="38100" bIns="19050" anchor="ctr" anchorCtr="1">
                  <a:noAutofit/>
                </a:bodyPr>
                <a:lstStyle/>
                <a:p>
                  <a:pPr>
                    <a:defRPr sz="900" b="0" i="0" u="none" strike="noStrike" kern="1200" baseline="0">
                      <a:solidFill>
                        <a:schemeClr val="tx1">
                          <a:lumMod val="75000"/>
                          <a:lumOff val="25000"/>
                        </a:schemeClr>
                      </a:solidFill>
                      <a:latin typeface="+mn-lt"/>
                      <a:ea typeface="+mn-ea"/>
                      <a:cs typeface="+mn-cs"/>
                    </a:defRPr>
                  </a:pPr>
                  <a:endParaRPr lang="fr-FR"/>
                </a:p>
              </c:txPr>
              <c:showLegendKey val="0"/>
              <c:showVal val="1"/>
              <c:showCatName val="0"/>
              <c:showSerName val="0"/>
              <c:showPercent val="0"/>
              <c:showBubbleSize val="0"/>
              <c:extLst>
                <c:ext xmlns:c15="http://schemas.microsoft.com/office/drawing/2012/chart" uri="{CE6537A1-D6FC-4f65-9D91-7224C49458BB}">
                  <c15:spPr xmlns:c15="http://schemas.microsoft.com/office/drawing/2012/chart">
                    <a:prstGeom prst="rect">
                      <a:avLst/>
                    </a:prstGeom>
                    <a:noFill/>
                    <a:ln>
                      <a:noFill/>
                    </a:ln>
                  </c15:spPr>
                </c:ext>
                <c:ext xmlns:c16="http://schemas.microsoft.com/office/drawing/2014/chart" uri="{C3380CC4-5D6E-409C-BE32-E72D297353CC}">
                  <c16:uniqueId val="{00000003-6EF7-46B7-BF76-82B670570CD6}"/>
                </c:ext>
              </c:extLst>
            </c:dLbl>
            <c:numFmt formatCode="0\ &quot;Pts&quot;;\-\ 0\ &quot;Pts&quot;;&quot;&quot;" sourceLinked="0"/>
            <c:spPr>
              <a:noFill/>
              <a:ln>
                <a:noFill/>
              </a:ln>
              <a:effectLst/>
            </c:spPr>
            <c:txPr>
              <a:bodyPr rot="0" spcFirstLastPara="1" vertOverflow="overflow" horzOverflow="overflow"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fr-FR"/>
              </a:p>
            </c:txPr>
            <c:showLegendKey val="0"/>
            <c:showVal val="1"/>
            <c:showCatName val="0"/>
            <c:showSerName val="0"/>
            <c:showPercent val="0"/>
            <c:showBubbleSize val="0"/>
            <c:showLeaderLines val="1"/>
            <c:leaderLines>
              <c:spPr>
                <a:ln w="9525">
                  <a:solidFill>
                    <a:schemeClr val="tx1">
                      <a:lumMod val="35000"/>
                      <a:lumOff val="65000"/>
                    </a:schemeClr>
                  </a:solidFill>
                </a:ln>
                <a:effectLst/>
              </c:spPr>
            </c:leaderLines>
            <c:extLst>
              <c:ext xmlns:c15="http://schemas.microsoft.com/office/drawing/2012/chart" uri="{CE6537A1-D6FC-4f65-9D91-7224C49458BB}"/>
            </c:extLst>
          </c:dLbls>
          <c:cat>
            <c:strRef>
              <c:f>'Général - Profit Factor'!$F$2:$F$3</c:f>
              <c:strCache>
                <c:ptCount val="2"/>
                <c:pt idx="0">
                  <c:v>Somme des gains</c:v>
                </c:pt>
                <c:pt idx="1">
                  <c:v>Somme des pertes</c:v>
                </c:pt>
              </c:strCache>
            </c:strRef>
          </c:cat>
          <c:val>
            <c:numRef>
              <c:f>'Général - Profit Factor'!$G$2:$G$3</c:f>
              <c:numCache>
                <c:formatCode>General</c:formatCode>
                <c:ptCount val="2"/>
                <c:pt idx="0">
                  <c:v>897.10000000000014</c:v>
                </c:pt>
                <c:pt idx="1">
                  <c:v>-1191.5999999999997</c:v>
                </c:pt>
              </c:numCache>
            </c:numRef>
          </c:val>
          <c:extLst>
            <c:ext xmlns:c16="http://schemas.microsoft.com/office/drawing/2014/chart" uri="{C3380CC4-5D6E-409C-BE32-E72D297353CC}">
              <c16:uniqueId val="{00000004-6EF7-46B7-BF76-82B670570CD6}"/>
            </c:ext>
          </c:extLst>
        </c:ser>
        <c:dLbls>
          <c:showLegendKey val="0"/>
          <c:showVal val="0"/>
          <c:showCatName val="0"/>
          <c:showSerName val="0"/>
          <c:showPercent val="0"/>
          <c:showBubbleSize val="0"/>
          <c:showLeaderLines val="1"/>
        </c:dLbls>
        <c:firstSliceAng val="0"/>
        <c:holeSize val="60"/>
      </c:doughnutChart>
      <c:spPr>
        <a:noFill/>
        <a:ln>
          <a:noFill/>
        </a:ln>
        <a:effectLst/>
      </c:spPr>
    </c:plotArea>
    <c:legend>
      <c:legendPos val="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noFill/>
    <a:ln w="9525" cap="flat" cmpd="sng" algn="ctr">
      <a:noFill/>
      <a:round/>
    </a:ln>
    <a:effectLst/>
  </c:spPr>
  <c:txPr>
    <a:bodyPr/>
    <a:lstStyle/>
    <a:p>
      <a:pPr>
        <a:defRPr/>
      </a:pPr>
      <a:endParaRPr lang="fr-FR"/>
    </a:p>
  </c:txPr>
  <c:printSettings>
    <c:headerFooter/>
    <c:pageMargins b="0.75" l="0.7" r="0.7" t="0.75" header="0.3" footer="0.3"/>
    <c:pageSetup/>
  </c:printSettings>
</c:chartSpace>
</file>

<file path=xl/charts/chart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600" b="1" i="0" u="none" strike="noStrike" kern="1200" cap="none" spc="0" normalizeH="0" baseline="0">
                <a:solidFill>
                  <a:schemeClr val="dk1">
                    <a:lumMod val="50000"/>
                    <a:lumOff val="50000"/>
                  </a:schemeClr>
                </a:solidFill>
                <a:latin typeface="+mj-lt"/>
                <a:ea typeface="+mj-ea"/>
                <a:cs typeface="+mj-cs"/>
              </a:defRPr>
            </a:pPr>
            <a:r>
              <a:rPr lang="fr-FR" sz="1200" b="0">
                <a:latin typeface="Cambria" panose="02040503050406030204" pitchFamily="18" charset="0"/>
                <a:ea typeface="Cambria" panose="02040503050406030204" pitchFamily="18" charset="0"/>
              </a:rPr>
              <a:t>Gagnant Perdant</a:t>
            </a:r>
          </a:p>
        </c:rich>
      </c:tx>
      <c:layout>
        <c:manualLayout>
          <c:xMode val="edge"/>
          <c:yMode val="edge"/>
          <c:x val="0.21765708092672204"/>
          <c:y val="3.6170387171254925E-2"/>
        </c:manualLayout>
      </c:layout>
      <c:overlay val="0"/>
      <c:spPr>
        <a:noFill/>
        <a:ln>
          <a:noFill/>
        </a:ln>
        <a:effectLst/>
      </c:spPr>
    </c:title>
    <c:autoTitleDeleted val="0"/>
    <c:plotArea>
      <c:layout>
        <c:manualLayout>
          <c:layoutTarget val="inner"/>
          <c:xMode val="edge"/>
          <c:yMode val="edge"/>
          <c:x val="0.19830446178217695"/>
          <c:y val="0.17469243905009527"/>
          <c:w val="0.40242549919989984"/>
          <c:h val="0.76889732731785698"/>
        </c:manualLayout>
      </c:layout>
      <c:barChart>
        <c:barDir val="col"/>
        <c:grouping val="clustered"/>
        <c:varyColors val="0"/>
        <c:ser>
          <c:idx val="0"/>
          <c:order val="0"/>
          <c:spPr>
            <a:solidFill>
              <a:srgbClr val="C00000">
                <a:alpha val="20000"/>
              </a:srgbClr>
            </a:solidFill>
            <a:ln>
              <a:noFill/>
            </a:ln>
            <a:effectLst/>
          </c:spPr>
          <c:invertIfNegative val="0"/>
          <c:dPt>
            <c:idx val="0"/>
            <c:invertIfNegative val="0"/>
            <c:bubble3D val="0"/>
            <c:spPr>
              <a:solidFill>
                <a:srgbClr val="0070C0">
                  <a:alpha val="20000"/>
                </a:srgbClr>
              </a:solidFill>
              <a:ln>
                <a:noFill/>
              </a:ln>
              <a:effectLst/>
            </c:spPr>
            <c:extLst>
              <c:ext xmlns:c16="http://schemas.microsoft.com/office/drawing/2014/chart" uri="{C3380CC4-5D6E-409C-BE32-E72D297353CC}">
                <c16:uniqueId val="{00000006-22FA-430C-A8EA-B2EB09EB5D49}"/>
              </c:ext>
            </c:extLst>
          </c:dPt>
          <c:dLbls>
            <c:dLbl>
              <c:idx val="0"/>
              <c:tx>
                <c:rich>
                  <a:bodyPr rot="0" spcFirstLastPara="1" vertOverflow="ellipsis" vert="horz" wrap="square" lIns="38100" tIns="19050" rIns="38100" bIns="19050" anchor="ctr" anchorCtr="1">
                    <a:noAutofit/>
                  </a:bodyPr>
                  <a:lstStyle/>
                  <a:p>
                    <a:pPr>
                      <a:defRPr sz="900" b="0" i="0" u="none" strike="noStrike" kern="1200" baseline="0">
                        <a:solidFill>
                          <a:schemeClr val="dk1">
                            <a:lumMod val="75000"/>
                            <a:lumOff val="25000"/>
                          </a:schemeClr>
                        </a:solidFill>
                        <a:latin typeface="+mn-lt"/>
                        <a:ea typeface="+mn-ea"/>
                        <a:cs typeface="+mn-cs"/>
                      </a:defRPr>
                    </a:pPr>
                    <a:fld id="{8FC4A3DB-6AE2-49BA-800A-875E7AABBF4D}" type="VALUE">
                      <a:rPr lang="en-US">
                        <a:solidFill>
                          <a:srgbClr val="0070C0"/>
                        </a:solidFill>
                      </a:rPr>
                      <a:pPr>
                        <a:defRPr sz="900" b="0" i="0" u="none" strike="noStrike" kern="1200" baseline="0">
                          <a:solidFill>
                            <a:schemeClr val="dk1">
                              <a:lumMod val="75000"/>
                              <a:lumOff val="25000"/>
                            </a:schemeClr>
                          </a:solidFill>
                          <a:latin typeface="+mn-lt"/>
                          <a:ea typeface="+mn-ea"/>
                          <a:cs typeface="+mn-cs"/>
                        </a:defRPr>
                      </a:pPr>
                      <a:t>[VALEUR]</a:t>
                    </a:fld>
                    <a:endParaRPr lang="fr-FR"/>
                  </a:p>
                </c:rich>
              </c:tx>
              <c:numFmt formatCode="0.0\ &quot;Pts Max&quot;;\-\ 0.0\ &quot;Pts Max&quot;;&quot;&quot;" sourceLinked="0"/>
              <c:spPr>
                <a:noFill/>
                <a:ln>
                  <a:noFill/>
                </a:ln>
                <a:effectLst/>
              </c:spPr>
              <c:showLegendKey val="0"/>
              <c:showVal val="1"/>
              <c:showCatName val="0"/>
              <c:showSerName val="0"/>
              <c:showPercent val="0"/>
              <c:showBubbleSize val="0"/>
              <c:extLst>
                <c:ext xmlns:c15="http://schemas.microsoft.com/office/drawing/2012/chart" uri="{CE6537A1-D6FC-4f65-9D91-7224C49458BB}">
                  <c15:spPr xmlns:c15="http://schemas.microsoft.com/office/drawing/2012/chart">
                    <a:prstGeom prst="rect">
                      <a:avLst/>
                    </a:prstGeom>
                  </c15:spPr>
                  <c15:dlblFieldTable/>
                  <c15:showDataLabelsRange val="0"/>
                </c:ext>
                <c:ext xmlns:c16="http://schemas.microsoft.com/office/drawing/2014/chart" uri="{C3380CC4-5D6E-409C-BE32-E72D297353CC}">
                  <c16:uniqueId val="{00000006-22FA-430C-A8EA-B2EB09EB5D49}"/>
                </c:ext>
              </c:extLst>
            </c:dLbl>
            <c:dLbl>
              <c:idx val="1"/>
              <c:tx>
                <c:rich>
                  <a:bodyPr/>
                  <a:lstStyle/>
                  <a:p>
                    <a:fld id="{89F0082D-9426-4C20-8BBF-4244406D3F26}" type="VALUE">
                      <a:rPr lang="en-US">
                        <a:solidFill>
                          <a:srgbClr val="C00000"/>
                        </a:solidFill>
                      </a:rPr>
                      <a:pPr/>
                      <a:t>[VALEUR]</a:t>
                    </a:fld>
                    <a:endParaRPr lang="fr-FR"/>
                  </a:p>
                </c:rich>
              </c:tx>
              <c:showLegendKey val="0"/>
              <c:showVal val="1"/>
              <c:showCatName val="0"/>
              <c:showSerName val="0"/>
              <c:showPercent val="0"/>
              <c:showBubbleSize val="0"/>
              <c:extLst>
                <c:ext xmlns:c15="http://schemas.microsoft.com/office/drawing/2012/chart" uri="{CE6537A1-D6FC-4f65-9D91-7224C49458BB}">
                  <c15:dlblFieldTable/>
                  <c15:showDataLabelsRange val="0"/>
                </c:ext>
                <c:ext xmlns:c16="http://schemas.microsoft.com/office/drawing/2014/chart" uri="{C3380CC4-5D6E-409C-BE32-E72D297353CC}">
                  <c16:uniqueId val="{00000003-22FA-430C-A8EA-B2EB09EB5D49}"/>
                </c:ext>
              </c:extLst>
            </c:dLbl>
            <c:numFmt formatCode="0.0\ &quot;Pts Max&quot;;\-\ 0.0\ &quot;Pts Max&quot;;&quot;&quot;" sourceLinked="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dk1">
                        <a:lumMod val="75000"/>
                        <a:lumOff val="25000"/>
                      </a:schemeClr>
                    </a:solidFill>
                    <a:latin typeface="+mn-lt"/>
                    <a:ea typeface="+mn-ea"/>
                    <a:cs typeface="+mn-cs"/>
                  </a:defRPr>
                </a:pPr>
                <a:endParaRPr lang="fr-FR"/>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dk1">
                          <a:lumMod val="35000"/>
                          <a:lumOff val="65000"/>
                        </a:schemeClr>
                      </a:solidFill>
                      <a:round/>
                    </a:ln>
                    <a:effectLst/>
                  </c:spPr>
                </c15:leaderLines>
              </c:ext>
            </c:extLst>
          </c:dLbls>
          <c:val>
            <c:numRef>
              <c:f>'Général - Gains Pertes Points'!$H$2:$H$3</c:f>
              <c:numCache>
                <c:formatCode>0.00</c:formatCode>
                <c:ptCount val="2"/>
                <c:pt idx="0">
                  <c:v>200</c:v>
                </c:pt>
                <c:pt idx="1">
                  <c:v>-12.1</c:v>
                </c:pt>
              </c:numCache>
            </c:numRef>
          </c:val>
          <c:extLst>
            <c:ext xmlns:c16="http://schemas.microsoft.com/office/drawing/2014/chart" uri="{C3380CC4-5D6E-409C-BE32-E72D297353CC}">
              <c16:uniqueId val="{00000001-22FA-430C-A8EA-B2EB09EB5D49}"/>
            </c:ext>
          </c:extLst>
        </c:ser>
        <c:ser>
          <c:idx val="1"/>
          <c:order val="1"/>
          <c:spPr>
            <a:pattFill prst="ltUpDiag">
              <a:fgClr>
                <a:srgbClr val="C00000"/>
              </a:fgClr>
              <a:bgClr>
                <a:schemeClr val="bg1"/>
              </a:bgClr>
            </a:pattFill>
            <a:ln>
              <a:noFill/>
            </a:ln>
            <a:effectLst>
              <a:innerShdw blurRad="114300">
                <a:srgbClr val="0070C0"/>
              </a:innerShdw>
            </a:effectLst>
          </c:spPr>
          <c:invertIfNegative val="0"/>
          <c:dPt>
            <c:idx val="0"/>
            <c:invertIfNegative val="0"/>
            <c:bubble3D val="0"/>
            <c:spPr>
              <a:pattFill prst="ltUpDiag">
                <a:fgClr>
                  <a:srgbClr val="0070C0"/>
                </a:fgClr>
                <a:bgClr>
                  <a:schemeClr val="bg1"/>
                </a:bgClr>
              </a:pattFill>
              <a:ln>
                <a:noFill/>
              </a:ln>
              <a:effectLst>
                <a:innerShdw blurRad="215900">
                  <a:srgbClr val="0070C0"/>
                </a:innerShdw>
              </a:effectLst>
            </c:spPr>
            <c:extLst>
              <c:ext xmlns:c16="http://schemas.microsoft.com/office/drawing/2014/chart" uri="{C3380CC4-5D6E-409C-BE32-E72D297353CC}">
                <c16:uniqueId val="{00000004-22FA-430C-A8EA-B2EB09EB5D49}"/>
              </c:ext>
            </c:extLst>
          </c:dPt>
          <c:dPt>
            <c:idx val="1"/>
            <c:invertIfNegative val="0"/>
            <c:bubble3D val="0"/>
            <c:spPr>
              <a:pattFill prst="ltUpDiag">
                <a:fgClr>
                  <a:srgbClr val="C00000"/>
                </a:fgClr>
                <a:bgClr>
                  <a:schemeClr val="bg1"/>
                </a:bgClr>
              </a:pattFill>
              <a:ln>
                <a:noFill/>
              </a:ln>
              <a:effectLst>
                <a:innerShdw blurRad="215900">
                  <a:srgbClr val="C00000"/>
                </a:innerShdw>
              </a:effectLst>
            </c:spPr>
            <c:extLst>
              <c:ext xmlns:c16="http://schemas.microsoft.com/office/drawing/2014/chart" uri="{C3380CC4-5D6E-409C-BE32-E72D297353CC}">
                <c16:uniqueId val="{00000005-22FA-430C-A8EA-B2EB09EB5D49}"/>
              </c:ext>
            </c:extLst>
          </c:dPt>
          <c:dLbls>
            <c:dLbl>
              <c:idx val="0"/>
              <c:layout>
                <c:manualLayout>
                  <c:x val="0.28108384870515091"/>
                  <c:y val="9.2307655034260028E-2"/>
                </c:manualLayout>
              </c:layout>
              <c:tx>
                <c:rich>
                  <a:bodyPr rot="0" spcFirstLastPara="1" vertOverflow="ellipsis" vert="horz" wrap="square" lIns="38100" tIns="19050" rIns="38100" bIns="19050" anchor="ctr" anchorCtr="1">
                    <a:noAutofit/>
                  </a:bodyPr>
                  <a:lstStyle/>
                  <a:p>
                    <a:pPr>
                      <a:defRPr sz="900" b="0" i="0" u="none" strike="noStrike" kern="1200" baseline="0">
                        <a:solidFill>
                          <a:schemeClr val="dk1">
                            <a:lumMod val="75000"/>
                            <a:lumOff val="25000"/>
                          </a:schemeClr>
                        </a:solidFill>
                        <a:latin typeface="+mn-lt"/>
                        <a:ea typeface="+mn-ea"/>
                        <a:cs typeface="+mn-cs"/>
                      </a:defRPr>
                    </a:pPr>
                    <a:fld id="{E4D2D6C7-2A8A-4879-8CDF-C304EE24DE34}" type="VALUE">
                      <a:rPr lang="en-US">
                        <a:solidFill>
                          <a:srgbClr val="0070C0"/>
                        </a:solidFill>
                      </a:rPr>
                      <a:pPr>
                        <a:defRPr sz="900" b="0" i="0" u="none" strike="noStrike" kern="1200" baseline="0">
                          <a:solidFill>
                            <a:schemeClr val="dk1">
                              <a:lumMod val="75000"/>
                              <a:lumOff val="25000"/>
                            </a:schemeClr>
                          </a:solidFill>
                          <a:latin typeface="+mn-lt"/>
                          <a:ea typeface="+mn-ea"/>
                          <a:cs typeface="+mn-cs"/>
                        </a:defRPr>
                      </a:pPr>
                      <a:t>[VALEUR]</a:t>
                    </a:fld>
                    <a:endParaRPr lang="fr-FR"/>
                  </a:p>
                </c:rich>
              </c:tx>
              <c:numFmt formatCode="0.0\ &quot;Pts Moy&quot;;\-\ 0.0\ &quot;Pts Moy&quot;;&quot;&quot;" sourceLinked="0"/>
              <c:spPr>
                <a:noFill/>
                <a:ln>
                  <a:noFill/>
                </a:ln>
                <a:effectLst/>
              </c:spPr>
              <c:showLegendKey val="0"/>
              <c:showVal val="1"/>
              <c:showCatName val="0"/>
              <c:showSerName val="0"/>
              <c:showPercent val="0"/>
              <c:showBubbleSize val="0"/>
              <c:extLst>
                <c:ext xmlns:c15="http://schemas.microsoft.com/office/drawing/2012/chart" uri="{CE6537A1-D6FC-4f65-9D91-7224C49458BB}">
                  <c15:layout>
                    <c:manualLayout>
                      <c:w val="0.22522217425009666"/>
                      <c:h val="0.14351296446074521"/>
                    </c:manualLayout>
                  </c15:layout>
                  <c15:dlblFieldTable/>
                  <c15:showDataLabelsRange val="0"/>
                </c:ext>
                <c:ext xmlns:c16="http://schemas.microsoft.com/office/drawing/2014/chart" uri="{C3380CC4-5D6E-409C-BE32-E72D297353CC}">
                  <c16:uniqueId val="{00000004-22FA-430C-A8EA-B2EB09EB5D49}"/>
                </c:ext>
              </c:extLst>
            </c:dLbl>
            <c:dLbl>
              <c:idx val="1"/>
              <c:layout>
                <c:manualLayout>
                  <c:x val="0.24564928354586046"/>
                  <c:y val="8.691796594752485E-2"/>
                </c:manualLayout>
              </c:layout>
              <c:tx>
                <c:rich>
                  <a:bodyPr rot="0" spcFirstLastPara="1" vertOverflow="ellipsis" vert="horz" wrap="square" lIns="38100" tIns="19050" rIns="38100" bIns="19050" anchor="ctr" anchorCtr="1">
                    <a:noAutofit/>
                  </a:bodyPr>
                  <a:lstStyle/>
                  <a:p>
                    <a:pPr>
                      <a:defRPr sz="900" b="0" i="0" u="none" strike="noStrike" kern="1200" baseline="0">
                        <a:solidFill>
                          <a:schemeClr val="dk1">
                            <a:lumMod val="75000"/>
                            <a:lumOff val="25000"/>
                          </a:schemeClr>
                        </a:solidFill>
                        <a:latin typeface="+mn-lt"/>
                        <a:ea typeface="+mn-ea"/>
                        <a:cs typeface="+mn-cs"/>
                      </a:defRPr>
                    </a:pPr>
                    <a:fld id="{1D229915-40E5-4A08-B3D9-96EB70125E9E}" type="VALUE">
                      <a:rPr lang="en-US">
                        <a:solidFill>
                          <a:srgbClr val="C00000"/>
                        </a:solidFill>
                      </a:rPr>
                      <a:pPr>
                        <a:defRPr sz="900" b="0" i="0" u="none" strike="noStrike" kern="1200" baseline="0">
                          <a:solidFill>
                            <a:schemeClr val="dk1">
                              <a:lumMod val="75000"/>
                              <a:lumOff val="25000"/>
                            </a:schemeClr>
                          </a:solidFill>
                          <a:latin typeface="+mn-lt"/>
                          <a:ea typeface="+mn-ea"/>
                          <a:cs typeface="+mn-cs"/>
                        </a:defRPr>
                      </a:pPr>
                      <a:t>[VALEUR]</a:t>
                    </a:fld>
                    <a:endParaRPr lang="fr-FR"/>
                  </a:p>
                </c:rich>
              </c:tx>
              <c:numFmt formatCode="0.0\ &quot;Pts Moy&quot;;\-\ 0.0\ &quot;Pts Moy&quot;;&quot;&quot;" sourceLinked="0"/>
              <c:spPr>
                <a:noFill/>
                <a:ln>
                  <a:noFill/>
                </a:ln>
                <a:effectLst/>
              </c:spPr>
              <c:showLegendKey val="0"/>
              <c:showVal val="1"/>
              <c:showCatName val="0"/>
              <c:showSerName val="0"/>
              <c:showPercent val="0"/>
              <c:showBubbleSize val="0"/>
              <c:extLst>
                <c:ext xmlns:c15="http://schemas.microsoft.com/office/drawing/2012/chart" uri="{CE6537A1-D6FC-4f65-9D91-7224C49458BB}">
                  <c15:layout>
                    <c:manualLayout>
                      <c:w val="0.24351403809324756"/>
                      <c:h val="0.13838476140328634"/>
                    </c:manualLayout>
                  </c15:layout>
                  <c15:dlblFieldTable/>
                  <c15:showDataLabelsRange val="0"/>
                </c:ext>
                <c:ext xmlns:c16="http://schemas.microsoft.com/office/drawing/2014/chart" uri="{C3380CC4-5D6E-409C-BE32-E72D297353CC}">
                  <c16:uniqueId val="{00000005-22FA-430C-A8EA-B2EB09EB5D49}"/>
                </c:ext>
              </c:extLst>
            </c:dLbl>
            <c:numFmt formatCode="0.0\ &quot;Pts Moy&quot;;\-\ 0.0\ &quot;Pts Moy&quot;;&quot;&quot;" sourceLinked="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dk1">
                        <a:lumMod val="75000"/>
                        <a:lumOff val="25000"/>
                      </a:schemeClr>
                    </a:solidFill>
                    <a:latin typeface="+mn-lt"/>
                    <a:ea typeface="+mn-ea"/>
                    <a:cs typeface="+mn-cs"/>
                  </a:defRPr>
                </a:pPr>
                <a:endParaRPr lang="fr-FR"/>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dk1">
                          <a:lumMod val="35000"/>
                          <a:lumOff val="65000"/>
                        </a:schemeClr>
                      </a:solidFill>
                      <a:round/>
                    </a:ln>
                    <a:effectLst/>
                  </c:spPr>
                </c15:leaderLines>
              </c:ext>
            </c:extLst>
          </c:dLbls>
          <c:val>
            <c:numRef>
              <c:f>'Général - Gains Pertes Points'!$H$4:$H$5</c:f>
              <c:numCache>
                <c:formatCode>0.00</c:formatCode>
                <c:ptCount val="2"/>
                <c:pt idx="0">
                  <c:v>24.245945945945948</c:v>
                </c:pt>
                <c:pt idx="1">
                  <c:v>-10.013445378151262</c:v>
                </c:pt>
              </c:numCache>
            </c:numRef>
          </c:val>
          <c:extLst>
            <c:ext xmlns:c16="http://schemas.microsoft.com/office/drawing/2014/chart" uri="{C3380CC4-5D6E-409C-BE32-E72D297353CC}">
              <c16:uniqueId val="{00000002-22FA-430C-A8EA-B2EB09EB5D49}"/>
            </c:ext>
          </c:extLst>
        </c:ser>
        <c:dLbls>
          <c:showLegendKey val="0"/>
          <c:showVal val="0"/>
          <c:showCatName val="0"/>
          <c:showSerName val="0"/>
          <c:showPercent val="0"/>
          <c:showBubbleSize val="0"/>
        </c:dLbls>
        <c:gapWidth val="0"/>
        <c:overlap val="100"/>
        <c:axId val="2127359519"/>
        <c:axId val="938944847"/>
      </c:barChart>
      <c:catAx>
        <c:axId val="2127359519"/>
        <c:scaling>
          <c:orientation val="minMax"/>
        </c:scaling>
        <c:delete val="1"/>
        <c:axPos val="b"/>
        <c:majorGridlines>
          <c:spPr>
            <a:ln w="9525" cap="flat" cmpd="sng" algn="ctr">
              <a:solidFill>
                <a:schemeClr val="dk1">
                  <a:lumMod val="15000"/>
                  <a:lumOff val="85000"/>
                </a:schemeClr>
              </a:solidFill>
              <a:round/>
            </a:ln>
            <a:effectLst/>
          </c:spPr>
        </c:majorGridlines>
        <c:numFmt formatCode="General" sourceLinked="1"/>
        <c:majorTickMark val="none"/>
        <c:minorTickMark val="none"/>
        <c:tickLblPos val="nextTo"/>
        <c:crossAx val="938944847"/>
        <c:crosses val="autoZero"/>
        <c:auto val="1"/>
        <c:lblAlgn val="ctr"/>
        <c:lblOffset val="100"/>
        <c:noMultiLvlLbl val="0"/>
      </c:catAx>
      <c:valAx>
        <c:axId val="938944847"/>
        <c:scaling>
          <c:orientation val="minMax"/>
        </c:scaling>
        <c:delete val="0"/>
        <c:axPos val="l"/>
        <c:majorGridlines>
          <c:spPr>
            <a:ln w="9525" cap="flat" cmpd="sng" algn="ctr">
              <a:solidFill>
                <a:schemeClr val="dk1">
                  <a:lumMod val="15000"/>
                  <a:lumOff val="85000"/>
                </a:schemeClr>
              </a:solidFill>
              <a:round/>
            </a:ln>
            <a:effectLst/>
          </c:spPr>
        </c:majorGridlines>
        <c:numFmt formatCode="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dk1">
                    <a:lumMod val="65000"/>
                    <a:lumOff val="35000"/>
                  </a:schemeClr>
                </a:solidFill>
                <a:latin typeface="+mn-lt"/>
                <a:ea typeface="+mn-ea"/>
                <a:cs typeface="+mn-cs"/>
              </a:defRPr>
            </a:pPr>
            <a:endParaRPr lang="fr-FR"/>
          </a:p>
        </c:txPr>
        <c:crossAx val="2127359519"/>
        <c:crosses val="autoZero"/>
        <c:crossBetween val="between"/>
      </c:valAx>
      <c:spPr>
        <a:pattFill prst="ltDnDiag">
          <a:fgClr>
            <a:schemeClr val="dk1">
              <a:lumMod val="15000"/>
              <a:lumOff val="85000"/>
            </a:schemeClr>
          </a:fgClr>
          <a:bgClr>
            <a:schemeClr val="lt1"/>
          </a:bgClr>
        </a:patt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noFill/>
    <a:ln w="9525" cap="flat" cmpd="sng" algn="ctr">
      <a:noFill/>
      <a:round/>
    </a:ln>
    <a:effectLst/>
  </c:spPr>
  <c:txPr>
    <a:bodyPr/>
    <a:lstStyle/>
    <a:p>
      <a:pPr>
        <a:defRPr/>
      </a:pPr>
      <a:endParaRPr lang="fr-FR"/>
    </a:p>
  </c:txPr>
  <c:printSettings>
    <c:headerFooter/>
    <c:pageMargins b="0.75" l="0.7" r="0.7" t="0.75" header="0.3" footer="0.3"/>
    <c:pageSetup/>
  </c:printSettings>
</c:chartSpace>
</file>

<file path=xl/charts/chart1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pivotSource>
    <c:name>[Journal V0.5.8.xlsm]Calculs jour!Tableau croisé dynamique2</c:name>
    <c:fmtId val="8"/>
  </c:pivotSource>
  <c:chart>
    <c:title>
      <c:tx>
        <c:rich>
          <a:bodyPr rot="0" spcFirstLastPara="1" vertOverflow="ellipsis" vert="horz" wrap="square" anchor="ctr" anchorCtr="1"/>
          <a:lstStyle/>
          <a:p>
            <a:pPr marL="0" marR="0" lvl="0" indent="0" algn="ctr" defTabSz="914400" rtl="0" eaLnBrk="1" fontAlgn="auto" latinLnBrk="0" hangingPunct="1">
              <a:lnSpc>
                <a:spcPct val="100000"/>
              </a:lnSpc>
              <a:spcBef>
                <a:spcPts val="0"/>
              </a:spcBef>
              <a:spcAft>
                <a:spcPts val="0"/>
              </a:spcAft>
              <a:buClrTx/>
              <a:buSzTx/>
              <a:buFontTx/>
              <a:buNone/>
              <a:tabLst/>
              <a:defRPr sz="1200" b="0" i="0" u="none" strike="noStrike" kern="1200" cap="none" spc="0" normalizeH="0" baseline="0">
                <a:solidFill>
                  <a:sysClr val="windowText" lastClr="000000">
                    <a:lumMod val="50000"/>
                    <a:lumOff val="50000"/>
                  </a:sysClr>
                </a:solidFill>
                <a:latin typeface="+mj-lt"/>
                <a:ea typeface="+mj-ea"/>
                <a:cs typeface="+mj-cs"/>
              </a:defRPr>
            </a:pPr>
            <a:r>
              <a:rPr lang="fr-FR" sz="1200">
                <a:solidFill>
                  <a:srgbClr val="0070C0"/>
                </a:solidFill>
              </a:rPr>
              <a:t>Evolutions points </a:t>
            </a:r>
            <a:r>
              <a:rPr lang="fr-FR" sz="1200" b="0" i="0" baseline="0">
                <a:effectLst/>
              </a:rPr>
              <a:t>- </a:t>
            </a:r>
            <a:r>
              <a:rPr lang="fr-FR" sz="1200" b="0" i="0" baseline="0">
                <a:solidFill>
                  <a:srgbClr val="C00000"/>
                </a:solidFill>
                <a:effectLst/>
              </a:rPr>
              <a:t>Levier</a:t>
            </a:r>
          </a:p>
        </c:rich>
      </c:tx>
      <c:overlay val="0"/>
      <c:spPr>
        <a:noFill/>
        <a:ln>
          <a:noFill/>
        </a:ln>
        <a:effectLst/>
      </c:spPr>
      <c:txPr>
        <a:bodyPr rot="0" spcFirstLastPara="1" vertOverflow="ellipsis" vert="horz" wrap="square" anchor="ctr" anchorCtr="1"/>
        <a:lstStyle/>
        <a:p>
          <a:pPr marL="0" marR="0" lvl="0" indent="0" algn="ctr" defTabSz="914400" rtl="0" eaLnBrk="1" fontAlgn="auto" latinLnBrk="0" hangingPunct="1">
            <a:lnSpc>
              <a:spcPct val="100000"/>
            </a:lnSpc>
            <a:spcBef>
              <a:spcPts val="0"/>
            </a:spcBef>
            <a:spcAft>
              <a:spcPts val="0"/>
            </a:spcAft>
            <a:buClrTx/>
            <a:buSzTx/>
            <a:buFontTx/>
            <a:buNone/>
            <a:tabLst/>
            <a:defRPr sz="1200" b="0" i="0" u="none" strike="noStrike" kern="1200" cap="none" spc="0" normalizeH="0" baseline="0">
              <a:solidFill>
                <a:sysClr val="windowText" lastClr="000000">
                  <a:lumMod val="50000"/>
                  <a:lumOff val="50000"/>
                </a:sysClr>
              </a:solidFill>
              <a:latin typeface="+mj-lt"/>
              <a:ea typeface="+mj-ea"/>
              <a:cs typeface="+mj-cs"/>
            </a:defRPr>
          </a:pPr>
          <a:endParaRPr lang="fr-FR"/>
        </a:p>
      </c:txPr>
    </c:title>
    <c:autoTitleDeleted val="0"/>
    <c:pivotFmts>
      <c:pivotFmt>
        <c:idx val="0"/>
        <c:dLbl>
          <c:idx val="0"/>
          <c:showLegendKey val="0"/>
          <c:showVal val="0"/>
          <c:showCatName val="0"/>
          <c:showSerName val="0"/>
          <c:showPercent val="0"/>
          <c:showBubbleSize val="0"/>
          <c:extLst>
            <c:ext xmlns:c15="http://schemas.microsoft.com/office/drawing/2012/chart" uri="{CE6537A1-D6FC-4f65-9D91-7224C49458BB}"/>
          </c:extLst>
        </c:dLbl>
      </c:pivotFmt>
      <c:pivotFmt>
        <c:idx val="1"/>
        <c:dLbl>
          <c:idx val="0"/>
          <c:showLegendKey val="0"/>
          <c:showVal val="0"/>
          <c:showCatName val="0"/>
          <c:showSerName val="0"/>
          <c:showPercent val="0"/>
          <c:showBubbleSize val="0"/>
          <c:extLst>
            <c:ext xmlns:c15="http://schemas.microsoft.com/office/drawing/2012/chart" uri="{CE6537A1-D6FC-4f65-9D91-7224C49458BB}"/>
          </c:extLst>
        </c:dLbl>
      </c:pivotFmt>
      <c:pivotFmt>
        <c:idx val="2"/>
        <c:spPr>
          <a:solidFill>
            <a:schemeClr val="accent1"/>
          </a:solidFill>
          <a:ln w="22225" cap="rnd">
            <a:solidFill>
              <a:schemeClr val="accent1"/>
            </a:solidFill>
            <a:round/>
          </a:ln>
          <a:effectLst/>
        </c:spPr>
        <c:marker>
          <c:symbol val="circle"/>
          <c:size val="6"/>
          <c:spPr>
            <a:solidFill>
              <a:schemeClr val="lt1"/>
            </a:solidFill>
            <a:ln w="1587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dk1">
                      <a:lumMod val="75000"/>
                      <a:lumOff val="25000"/>
                    </a:schemeClr>
                  </a:solidFill>
                  <a:latin typeface="+mn-lt"/>
                  <a:ea typeface="+mn-ea"/>
                  <a:cs typeface="+mn-cs"/>
                </a:defRPr>
              </a:pPr>
              <a:endParaRPr lang="fr-FR"/>
            </a:p>
          </c:txPr>
          <c:dLblPos val="t"/>
          <c:showLegendKey val="0"/>
          <c:showVal val="1"/>
          <c:showCatName val="0"/>
          <c:showSerName val="0"/>
          <c:showPercent val="0"/>
          <c:showBubbleSize val="0"/>
          <c:extLst>
            <c:ext xmlns:c15="http://schemas.microsoft.com/office/drawing/2012/chart" uri="{CE6537A1-D6FC-4f65-9D91-7224C49458BB}"/>
          </c:extLst>
        </c:dLbl>
      </c:pivotFmt>
      <c:pivotFmt>
        <c:idx val="3"/>
        <c:spPr>
          <a:solidFill>
            <a:schemeClr val="accent1"/>
          </a:solidFill>
          <a:ln w="22225" cap="rnd">
            <a:solidFill>
              <a:schemeClr val="accent1"/>
            </a:solidFill>
            <a:round/>
          </a:ln>
          <a:effectLst/>
        </c:spPr>
        <c:marker>
          <c:symbol val="circle"/>
          <c:size val="6"/>
          <c:spPr>
            <a:solidFill>
              <a:schemeClr val="lt1"/>
            </a:solidFill>
            <a:ln w="1587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dk1">
                      <a:lumMod val="75000"/>
                      <a:lumOff val="25000"/>
                    </a:schemeClr>
                  </a:solidFill>
                  <a:latin typeface="+mn-lt"/>
                  <a:ea typeface="+mn-ea"/>
                  <a:cs typeface="+mn-cs"/>
                </a:defRPr>
              </a:pPr>
              <a:endParaRPr lang="fr-FR"/>
            </a:p>
          </c:txPr>
          <c:dLblPos val="t"/>
          <c:showLegendKey val="0"/>
          <c:showVal val="1"/>
          <c:showCatName val="0"/>
          <c:showSerName val="0"/>
          <c:showPercent val="0"/>
          <c:showBubbleSize val="0"/>
          <c:extLst>
            <c:ext xmlns:c15="http://schemas.microsoft.com/office/drawing/2012/chart" uri="{CE6537A1-D6FC-4f65-9D91-7224C49458BB}"/>
          </c:extLst>
        </c:dLbl>
      </c:pivotFmt>
      <c:pivotFmt>
        <c:idx val="4"/>
        <c:spPr>
          <a:solidFill>
            <a:schemeClr val="accent1"/>
          </a:solidFill>
          <a:ln w="22225" cap="rnd">
            <a:solidFill>
              <a:schemeClr val="accent1"/>
            </a:solidFill>
            <a:round/>
          </a:ln>
          <a:effectLst/>
        </c:spPr>
        <c:marker>
          <c:symbol val="circle"/>
          <c:size val="6"/>
          <c:spPr>
            <a:solidFill>
              <a:schemeClr val="lt1"/>
            </a:solidFill>
            <a:ln w="1587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dk1">
                      <a:lumMod val="75000"/>
                      <a:lumOff val="25000"/>
                    </a:schemeClr>
                  </a:solidFill>
                  <a:latin typeface="+mn-lt"/>
                  <a:ea typeface="+mn-ea"/>
                  <a:cs typeface="+mn-cs"/>
                </a:defRPr>
              </a:pPr>
              <a:endParaRPr lang="fr-FR"/>
            </a:p>
          </c:txPr>
          <c:dLblPos val="t"/>
          <c:showLegendKey val="0"/>
          <c:showVal val="1"/>
          <c:showCatName val="0"/>
          <c:showSerName val="0"/>
          <c:showPercent val="0"/>
          <c:showBubbleSize val="0"/>
          <c:extLst>
            <c:ext xmlns:c15="http://schemas.microsoft.com/office/drawing/2012/chart" uri="{CE6537A1-D6FC-4f65-9D91-7224C49458BB}"/>
          </c:extLst>
        </c:dLbl>
      </c:pivotFmt>
      <c:pivotFmt>
        <c:idx val="5"/>
        <c:spPr>
          <a:no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dk1">
                      <a:lumMod val="75000"/>
                      <a:lumOff val="25000"/>
                    </a:schemeClr>
                  </a:solidFill>
                  <a:latin typeface="+mn-lt"/>
                  <a:ea typeface="+mn-ea"/>
                  <a:cs typeface="+mn-cs"/>
                </a:defRPr>
              </a:pPr>
              <a:endParaRPr lang="fr-FR"/>
            </a:p>
          </c:txPr>
          <c:showLegendKey val="0"/>
          <c:showVal val="0"/>
          <c:showCatName val="0"/>
          <c:showSerName val="0"/>
          <c:showPercent val="0"/>
          <c:showBubbleSize val="0"/>
          <c:extLst>
            <c:ext xmlns:c15="http://schemas.microsoft.com/office/drawing/2012/chart" uri="{CE6537A1-D6FC-4f65-9D91-7224C49458BB}"/>
          </c:extLst>
        </c:dLbl>
      </c:pivotFmt>
      <c:pivotFmt>
        <c:idx val="6"/>
        <c:spPr>
          <a:ln w="22225" cap="rnd">
            <a:solidFill>
              <a:srgbClr val="4F81BD"/>
            </a:solidFill>
            <a:round/>
          </a:ln>
          <a:effectLst/>
        </c:spPr>
        <c:marker>
          <c:symbol val="circle"/>
          <c:size val="6"/>
          <c:spPr>
            <a:solidFill>
              <a:sysClr val="window" lastClr="FFFFFF"/>
            </a:solidFill>
            <a:ln w="15875">
              <a:solidFill>
                <a:srgbClr val="4F81BD"/>
              </a:solidFill>
              <a:round/>
            </a:ln>
            <a:effectLst/>
          </c:spPr>
        </c:marker>
        <c:dLbl>
          <c:idx val="0"/>
          <c:numFmt formatCode="0.0\ &quot;Pts&quot;;\-\ 0.0\ &quot;Pts&quot;;&quot;&quot;" sourceLinked="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rgbClr val="0070C0"/>
                  </a:solidFill>
                  <a:latin typeface="+mn-lt"/>
                  <a:ea typeface="+mn-ea"/>
                  <a:cs typeface="+mn-cs"/>
                </a:defRPr>
              </a:pPr>
              <a:endParaRPr lang="fr-FR"/>
            </a:p>
          </c:txPr>
          <c:dLblPos val="b"/>
          <c:showLegendKey val="0"/>
          <c:showVal val="1"/>
          <c:showCatName val="0"/>
          <c:showSerName val="0"/>
          <c:showPercent val="0"/>
          <c:showBubbleSize val="0"/>
          <c:extLst>
            <c:ext xmlns:c15="http://schemas.microsoft.com/office/drawing/2012/chart" uri="{CE6537A1-D6FC-4f65-9D91-7224C49458BB}"/>
          </c:extLst>
        </c:dLbl>
      </c:pivotFmt>
      <c:pivotFmt>
        <c:idx val="7"/>
        <c:spPr>
          <a:no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dk1">
                      <a:lumMod val="75000"/>
                      <a:lumOff val="25000"/>
                    </a:schemeClr>
                  </a:solidFill>
                  <a:latin typeface="+mn-lt"/>
                  <a:ea typeface="+mn-ea"/>
                  <a:cs typeface="+mn-cs"/>
                </a:defRPr>
              </a:pPr>
              <a:endParaRPr lang="fr-FR"/>
            </a:p>
          </c:txPr>
          <c:showLegendKey val="0"/>
          <c:showVal val="0"/>
          <c:showCatName val="0"/>
          <c:showSerName val="0"/>
          <c:showPercent val="0"/>
          <c:showBubbleSize val="0"/>
          <c:extLst>
            <c:ext xmlns:c15="http://schemas.microsoft.com/office/drawing/2012/chart" uri="{CE6537A1-D6FC-4f65-9D91-7224C49458BB}"/>
          </c:extLst>
        </c:dLbl>
      </c:pivotFmt>
      <c:pivotFmt>
        <c:idx val="8"/>
        <c:spPr>
          <a:noFill/>
          <a:ln w="25400">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dk1">
                      <a:lumMod val="75000"/>
                      <a:lumOff val="25000"/>
                    </a:schemeClr>
                  </a:solidFill>
                  <a:latin typeface="+mn-lt"/>
                  <a:ea typeface="+mn-ea"/>
                  <a:cs typeface="+mn-cs"/>
                </a:defRPr>
              </a:pPr>
              <a:endParaRPr lang="fr-FR"/>
            </a:p>
          </c:txPr>
          <c:showLegendKey val="0"/>
          <c:showVal val="0"/>
          <c:showCatName val="0"/>
          <c:showSerName val="0"/>
          <c:showPercent val="0"/>
          <c:showBubbleSize val="0"/>
          <c:extLst>
            <c:ext xmlns:c15="http://schemas.microsoft.com/office/drawing/2012/chart" uri="{CE6537A1-D6FC-4f65-9D91-7224C49458BB}"/>
          </c:extLst>
        </c:dLbl>
      </c:pivotFmt>
      <c:pivotFmt>
        <c:idx val="9"/>
        <c:spPr>
          <a:noFill/>
          <a:ln w="25400">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dk1">
                      <a:lumMod val="75000"/>
                      <a:lumOff val="25000"/>
                    </a:schemeClr>
                  </a:solidFill>
                  <a:latin typeface="+mn-lt"/>
                  <a:ea typeface="+mn-ea"/>
                  <a:cs typeface="+mn-cs"/>
                </a:defRPr>
              </a:pPr>
              <a:endParaRPr lang="fr-FR"/>
            </a:p>
          </c:txPr>
          <c:showLegendKey val="0"/>
          <c:showVal val="0"/>
          <c:showCatName val="0"/>
          <c:showSerName val="0"/>
          <c:showPercent val="0"/>
          <c:showBubbleSize val="0"/>
          <c:extLst>
            <c:ext xmlns:c15="http://schemas.microsoft.com/office/drawing/2012/chart" uri="{CE6537A1-D6FC-4f65-9D91-7224C49458BB}"/>
          </c:extLst>
        </c:dLbl>
      </c:pivotFmt>
      <c:pivotFmt>
        <c:idx val="10"/>
        <c:spPr>
          <a:noFill/>
          <a:ln w="25400">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dk1">
                      <a:lumMod val="75000"/>
                      <a:lumOff val="25000"/>
                    </a:schemeClr>
                  </a:solidFill>
                  <a:latin typeface="+mn-lt"/>
                  <a:ea typeface="+mn-ea"/>
                  <a:cs typeface="+mn-cs"/>
                </a:defRPr>
              </a:pPr>
              <a:endParaRPr lang="fr-FR"/>
            </a:p>
          </c:txPr>
          <c:showLegendKey val="0"/>
          <c:showVal val="0"/>
          <c:showCatName val="0"/>
          <c:showSerName val="0"/>
          <c:showPercent val="0"/>
          <c:showBubbleSize val="0"/>
          <c:extLst>
            <c:ext xmlns:c15="http://schemas.microsoft.com/office/drawing/2012/chart" uri="{CE6537A1-D6FC-4f65-9D91-7224C49458BB}"/>
          </c:extLst>
        </c:dLbl>
      </c:pivotFmt>
      <c:pivotFmt>
        <c:idx val="11"/>
        <c:spPr>
          <a:no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dk1">
                      <a:lumMod val="75000"/>
                      <a:lumOff val="25000"/>
                    </a:schemeClr>
                  </a:solidFill>
                  <a:latin typeface="+mn-lt"/>
                  <a:ea typeface="+mn-ea"/>
                  <a:cs typeface="+mn-cs"/>
                </a:defRPr>
              </a:pPr>
              <a:endParaRPr lang="fr-FR"/>
            </a:p>
          </c:txPr>
          <c:showLegendKey val="0"/>
          <c:showVal val="0"/>
          <c:showCatName val="0"/>
          <c:showSerName val="0"/>
          <c:showPercent val="0"/>
          <c:showBubbleSize val="0"/>
          <c:extLst>
            <c:ext xmlns:c15="http://schemas.microsoft.com/office/drawing/2012/chart" uri="{CE6537A1-D6FC-4f65-9D91-7224C49458BB}"/>
          </c:extLst>
        </c:dLbl>
      </c:pivotFmt>
      <c:pivotFmt>
        <c:idx val="12"/>
        <c:spPr>
          <a:no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dk1">
                      <a:lumMod val="75000"/>
                      <a:lumOff val="25000"/>
                    </a:schemeClr>
                  </a:solidFill>
                  <a:latin typeface="+mn-lt"/>
                  <a:ea typeface="+mn-ea"/>
                  <a:cs typeface="+mn-cs"/>
                </a:defRPr>
              </a:pPr>
              <a:endParaRPr lang="fr-FR"/>
            </a:p>
          </c:txPr>
          <c:showLegendKey val="0"/>
          <c:showVal val="0"/>
          <c:showCatName val="0"/>
          <c:showSerName val="0"/>
          <c:showPercent val="0"/>
          <c:showBubbleSize val="0"/>
          <c:extLst>
            <c:ext xmlns:c15="http://schemas.microsoft.com/office/drawing/2012/chart" uri="{CE6537A1-D6FC-4f65-9D91-7224C49458BB}"/>
          </c:extLst>
        </c:dLbl>
      </c:pivotFmt>
      <c:pivotFmt>
        <c:idx val="13"/>
        <c:spPr>
          <a:no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dk1">
                      <a:lumMod val="75000"/>
                      <a:lumOff val="25000"/>
                    </a:schemeClr>
                  </a:solidFill>
                  <a:latin typeface="+mn-lt"/>
                  <a:ea typeface="+mn-ea"/>
                  <a:cs typeface="+mn-cs"/>
                </a:defRPr>
              </a:pPr>
              <a:endParaRPr lang="fr-FR"/>
            </a:p>
          </c:txPr>
          <c:showLegendKey val="0"/>
          <c:showVal val="0"/>
          <c:showCatName val="0"/>
          <c:showSerName val="0"/>
          <c:showPercent val="0"/>
          <c:showBubbleSize val="0"/>
          <c:extLst>
            <c:ext xmlns:c15="http://schemas.microsoft.com/office/drawing/2012/chart" uri="{CE6537A1-D6FC-4f65-9D91-7224C49458BB}"/>
          </c:extLst>
        </c:dLbl>
      </c:pivotFmt>
      <c:pivotFmt>
        <c:idx val="14"/>
        <c:spPr>
          <a:no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dk1">
                      <a:lumMod val="75000"/>
                      <a:lumOff val="25000"/>
                    </a:schemeClr>
                  </a:solidFill>
                  <a:latin typeface="+mn-lt"/>
                  <a:ea typeface="+mn-ea"/>
                  <a:cs typeface="+mn-cs"/>
                </a:defRPr>
              </a:pPr>
              <a:endParaRPr lang="fr-FR"/>
            </a:p>
          </c:txPr>
          <c:showLegendKey val="0"/>
          <c:showVal val="0"/>
          <c:showCatName val="0"/>
          <c:showSerName val="0"/>
          <c:showPercent val="0"/>
          <c:showBubbleSize val="0"/>
          <c:extLst>
            <c:ext xmlns:c15="http://schemas.microsoft.com/office/drawing/2012/chart" uri="{CE6537A1-D6FC-4f65-9D91-7224C49458BB}"/>
          </c:extLst>
        </c:dLbl>
      </c:pivotFmt>
      <c:pivotFmt>
        <c:idx val="15"/>
        <c:spPr>
          <a:no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dk1">
                      <a:lumMod val="75000"/>
                      <a:lumOff val="25000"/>
                    </a:schemeClr>
                  </a:solidFill>
                  <a:latin typeface="+mn-lt"/>
                  <a:ea typeface="+mn-ea"/>
                  <a:cs typeface="+mn-cs"/>
                </a:defRPr>
              </a:pPr>
              <a:endParaRPr lang="fr-FR"/>
            </a:p>
          </c:txPr>
          <c:showLegendKey val="0"/>
          <c:showVal val="0"/>
          <c:showCatName val="0"/>
          <c:showSerName val="0"/>
          <c:showPercent val="0"/>
          <c:showBubbleSize val="0"/>
          <c:extLst>
            <c:ext xmlns:c15="http://schemas.microsoft.com/office/drawing/2012/chart" uri="{CE6537A1-D6FC-4f65-9D91-7224C49458BB}"/>
          </c:extLst>
        </c:dLbl>
      </c:pivotFmt>
      <c:pivotFmt>
        <c:idx val="16"/>
        <c:spPr>
          <a:no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dk1">
                      <a:lumMod val="75000"/>
                      <a:lumOff val="25000"/>
                    </a:schemeClr>
                  </a:solidFill>
                  <a:latin typeface="+mn-lt"/>
                  <a:ea typeface="+mn-ea"/>
                  <a:cs typeface="+mn-cs"/>
                </a:defRPr>
              </a:pPr>
              <a:endParaRPr lang="fr-FR"/>
            </a:p>
          </c:txPr>
          <c:showLegendKey val="0"/>
          <c:showVal val="0"/>
          <c:showCatName val="0"/>
          <c:showSerName val="0"/>
          <c:showPercent val="0"/>
          <c:showBubbleSize val="0"/>
          <c:extLst>
            <c:ext xmlns:c15="http://schemas.microsoft.com/office/drawing/2012/chart" uri="{CE6537A1-D6FC-4f65-9D91-7224C49458BB}"/>
          </c:extLst>
        </c:dLbl>
      </c:pivotFmt>
      <c:pivotFmt>
        <c:idx val="17"/>
        <c:spPr>
          <a:no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dk1">
                      <a:lumMod val="75000"/>
                      <a:lumOff val="25000"/>
                    </a:schemeClr>
                  </a:solidFill>
                  <a:latin typeface="+mn-lt"/>
                  <a:ea typeface="+mn-ea"/>
                  <a:cs typeface="+mn-cs"/>
                </a:defRPr>
              </a:pPr>
              <a:endParaRPr lang="fr-FR"/>
            </a:p>
          </c:txPr>
          <c:showLegendKey val="0"/>
          <c:showVal val="0"/>
          <c:showCatName val="0"/>
          <c:showSerName val="0"/>
          <c:showPercent val="0"/>
          <c:showBubbleSize val="0"/>
          <c:extLst>
            <c:ext xmlns:c15="http://schemas.microsoft.com/office/drawing/2012/chart" uri="{CE6537A1-D6FC-4f65-9D91-7224C49458BB}"/>
          </c:extLst>
        </c:dLbl>
      </c:pivotFmt>
      <c:pivotFmt>
        <c:idx val="18"/>
        <c:spPr>
          <a:no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dk1">
                      <a:lumMod val="75000"/>
                      <a:lumOff val="25000"/>
                    </a:schemeClr>
                  </a:solidFill>
                  <a:latin typeface="+mn-lt"/>
                  <a:ea typeface="+mn-ea"/>
                  <a:cs typeface="+mn-cs"/>
                </a:defRPr>
              </a:pPr>
              <a:endParaRPr lang="fr-FR"/>
            </a:p>
          </c:txPr>
          <c:showLegendKey val="0"/>
          <c:showVal val="0"/>
          <c:showCatName val="0"/>
          <c:showSerName val="0"/>
          <c:showPercent val="0"/>
          <c:showBubbleSize val="0"/>
          <c:extLst>
            <c:ext xmlns:c15="http://schemas.microsoft.com/office/drawing/2012/chart" uri="{CE6537A1-D6FC-4f65-9D91-7224C49458BB}"/>
          </c:extLst>
        </c:dLbl>
      </c:pivotFmt>
      <c:pivotFmt>
        <c:idx val="19"/>
        <c:spPr>
          <a:no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dk1">
                      <a:lumMod val="75000"/>
                      <a:lumOff val="25000"/>
                    </a:schemeClr>
                  </a:solidFill>
                  <a:latin typeface="+mn-lt"/>
                  <a:ea typeface="+mn-ea"/>
                  <a:cs typeface="+mn-cs"/>
                </a:defRPr>
              </a:pPr>
              <a:endParaRPr lang="fr-FR"/>
            </a:p>
          </c:txPr>
          <c:showLegendKey val="0"/>
          <c:showVal val="0"/>
          <c:showCatName val="0"/>
          <c:showSerName val="0"/>
          <c:showPercent val="0"/>
          <c:showBubbleSize val="0"/>
          <c:extLst>
            <c:ext xmlns:c15="http://schemas.microsoft.com/office/drawing/2012/chart" uri="{CE6537A1-D6FC-4f65-9D91-7224C49458BB}"/>
          </c:extLst>
        </c:dLbl>
      </c:pivotFmt>
      <c:pivotFmt>
        <c:idx val="20"/>
        <c:spPr>
          <a:no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dk1">
                      <a:lumMod val="75000"/>
                      <a:lumOff val="25000"/>
                    </a:schemeClr>
                  </a:solidFill>
                  <a:latin typeface="+mn-lt"/>
                  <a:ea typeface="+mn-ea"/>
                  <a:cs typeface="+mn-cs"/>
                </a:defRPr>
              </a:pPr>
              <a:endParaRPr lang="fr-FR"/>
            </a:p>
          </c:txPr>
          <c:showLegendKey val="0"/>
          <c:showVal val="0"/>
          <c:showCatName val="0"/>
          <c:showSerName val="0"/>
          <c:showPercent val="0"/>
          <c:showBubbleSize val="0"/>
          <c:extLst>
            <c:ext xmlns:c15="http://schemas.microsoft.com/office/drawing/2012/chart" uri="{CE6537A1-D6FC-4f65-9D91-7224C49458BB}"/>
          </c:extLst>
        </c:dLbl>
      </c:pivotFmt>
      <c:pivotFmt>
        <c:idx val="21"/>
        <c:spPr>
          <a:no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dk1">
                      <a:lumMod val="75000"/>
                      <a:lumOff val="25000"/>
                    </a:schemeClr>
                  </a:solidFill>
                  <a:latin typeface="+mn-lt"/>
                  <a:ea typeface="+mn-ea"/>
                  <a:cs typeface="+mn-cs"/>
                </a:defRPr>
              </a:pPr>
              <a:endParaRPr lang="fr-FR"/>
            </a:p>
          </c:txPr>
          <c:showLegendKey val="0"/>
          <c:showVal val="0"/>
          <c:showCatName val="0"/>
          <c:showSerName val="0"/>
          <c:showPercent val="0"/>
          <c:showBubbleSize val="0"/>
          <c:extLst>
            <c:ext xmlns:c15="http://schemas.microsoft.com/office/drawing/2012/chart" uri="{CE6537A1-D6FC-4f65-9D91-7224C49458BB}"/>
          </c:extLst>
        </c:dLbl>
      </c:pivotFmt>
      <c:pivotFmt>
        <c:idx val="22"/>
        <c:spPr>
          <a:noFill/>
          <a:ln w="25400">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dk1">
                      <a:lumMod val="75000"/>
                      <a:lumOff val="25000"/>
                    </a:schemeClr>
                  </a:solidFill>
                  <a:latin typeface="+mn-lt"/>
                  <a:ea typeface="+mn-ea"/>
                  <a:cs typeface="+mn-cs"/>
                </a:defRPr>
              </a:pPr>
              <a:endParaRPr lang="fr-FR"/>
            </a:p>
          </c:txPr>
          <c:showLegendKey val="0"/>
          <c:showVal val="0"/>
          <c:showCatName val="0"/>
          <c:showSerName val="0"/>
          <c:showPercent val="0"/>
          <c:showBubbleSize val="0"/>
          <c:extLst>
            <c:ext xmlns:c15="http://schemas.microsoft.com/office/drawing/2012/chart" uri="{CE6537A1-D6FC-4f65-9D91-7224C49458BB}"/>
          </c:extLst>
        </c:dLbl>
      </c:pivotFmt>
      <c:pivotFmt>
        <c:idx val="23"/>
        <c:spPr>
          <a:no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dk1">
                      <a:lumMod val="75000"/>
                      <a:lumOff val="25000"/>
                    </a:schemeClr>
                  </a:solidFill>
                  <a:latin typeface="+mn-lt"/>
                  <a:ea typeface="+mn-ea"/>
                  <a:cs typeface="+mn-cs"/>
                </a:defRPr>
              </a:pPr>
              <a:endParaRPr lang="fr-FR"/>
            </a:p>
          </c:txPr>
          <c:showLegendKey val="0"/>
          <c:showVal val="0"/>
          <c:showCatName val="0"/>
          <c:showSerName val="0"/>
          <c:showPercent val="0"/>
          <c:showBubbleSize val="0"/>
          <c:extLst>
            <c:ext xmlns:c15="http://schemas.microsoft.com/office/drawing/2012/chart" uri="{CE6537A1-D6FC-4f65-9D91-7224C49458BB}"/>
          </c:extLst>
        </c:dLbl>
      </c:pivotFmt>
      <c:pivotFmt>
        <c:idx val="24"/>
        <c:spPr>
          <a:ln w="22225" cap="rnd">
            <a:solidFill>
              <a:schemeClr val="accent1"/>
            </a:solidFill>
            <a:round/>
          </a:ln>
          <a:effectLst/>
        </c:spPr>
        <c:marker>
          <c:symbol val="circle"/>
          <c:size val="6"/>
          <c:spPr>
            <a:solidFill>
              <a:schemeClr val="lt1"/>
            </a:solidFill>
            <a:ln w="15875">
              <a:solidFill>
                <a:schemeClr val="accent2">
                  <a:lumMod val="80000"/>
                </a:schemeClr>
              </a:solidFill>
              <a:round/>
            </a:ln>
            <a:effectLst/>
          </c:spPr>
        </c:marker>
        <c:dLbl>
          <c:idx val="0"/>
          <c:numFmt formatCode="#,##0.0" sourceLinked="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rgbClr val="C00000"/>
                  </a:solidFill>
                  <a:latin typeface="+mn-lt"/>
                  <a:ea typeface="+mn-ea"/>
                  <a:cs typeface="+mn-cs"/>
                </a:defRPr>
              </a:pPr>
              <a:endParaRPr lang="fr-FR"/>
            </a:p>
          </c:txPr>
          <c:dLblPos val="t"/>
          <c:showLegendKey val="0"/>
          <c:showVal val="1"/>
          <c:showCatName val="0"/>
          <c:showSerName val="0"/>
          <c:showPercent val="0"/>
          <c:showBubbleSize val="0"/>
          <c:extLst>
            <c:ext xmlns:c15="http://schemas.microsoft.com/office/drawing/2012/chart" uri="{CE6537A1-D6FC-4f65-9D91-7224C49458BB}"/>
          </c:extLst>
        </c:dLbl>
      </c:pivotFmt>
      <c:pivotFmt>
        <c:idx val="25"/>
        <c:spPr>
          <a:no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dk1">
                      <a:lumMod val="75000"/>
                      <a:lumOff val="25000"/>
                    </a:schemeClr>
                  </a:solidFill>
                  <a:latin typeface="+mn-lt"/>
                  <a:ea typeface="+mn-ea"/>
                  <a:cs typeface="+mn-cs"/>
                </a:defRPr>
              </a:pPr>
              <a:endParaRPr lang="fr-FR"/>
            </a:p>
          </c:txPr>
          <c:showLegendKey val="0"/>
          <c:showVal val="0"/>
          <c:showCatName val="0"/>
          <c:showSerName val="0"/>
          <c:showPercent val="0"/>
          <c:showBubbleSize val="0"/>
          <c:extLst>
            <c:ext xmlns:c15="http://schemas.microsoft.com/office/drawing/2012/chart" uri="{CE6537A1-D6FC-4f65-9D91-7224C49458BB}"/>
          </c:extLst>
        </c:dLbl>
      </c:pivotFmt>
      <c:pivotFmt>
        <c:idx val="26"/>
        <c:spPr>
          <a:no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dk1">
                      <a:lumMod val="75000"/>
                      <a:lumOff val="25000"/>
                    </a:schemeClr>
                  </a:solidFill>
                  <a:latin typeface="+mn-lt"/>
                  <a:ea typeface="+mn-ea"/>
                  <a:cs typeface="+mn-cs"/>
                </a:defRPr>
              </a:pPr>
              <a:endParaRPr lang="fr-FR"/>
            </a:p>
          </c:txPr>
          <c:showLegendKey val="0"/>
          <c:showVal val="0"/>
          <c:showCatName val="0"/>
          <c:showSerName val="0"/>
          <c:showPercent val="0"/>
          <c:showBubbleSize val="0"/>
          <c:extLst>
            <c:ext xmlns:c15="http://schemas.microsoft.com/office/drawing/2012/chart" uri="{CE6537A1-D6FC-4f65-9D91-7224C49458BB}"/>
          </c:extLst>
        </c:dLbl>
      </c:pivotFmt>
    </c:pivotFmts>
    <c:plotArea>
      <c:layout>
        <c:manualLayout>
          <c:layoutTarget val="inner"/>
          <c:xMode val="edge"/>
          <c:yMode val="edge"/>
          <c:x val="7.1488888888888893E-2"/>
          <c:y val="0.12270751633986927"/>
          <c:w val="0.81294083333333333"/>
          <c:h val="0.76038071895424841"/>
        </c:manualLayout>
      </c:layout>
      <c:barChart>
        <c:barDir val="col"/>
        <c:grouping val="clustered"/>
        <c:varyColors val="0"/>
        <c:ser>
          <c:idx val="0"/>
          <c:order val="0"/>
          <c:tx>
            <c:strRef>
              <c:f>'Calculs jour'!$B$14</c:f>
              <c:strCache>
                <c:ptCount val="1"/>
                <c:pt idx="0">
                  <c:v>Somme de Points</c:v>
                </c:pt>
              </c:strCache>
            </c:strRef>
          </c:tx>
          <c:spPr>
            <a:noFill/>
            <a:ln>
              <a:noFill/>
            </a:ln>
            <a:effectLst/>
          </c:spPr>
          <c:invertIfNegative val="0"/>
          <c:cat>
            <c:strRef>
              <c:f>'Calculs jour'!$A$15:$A$16</c:f>
              <c:strCache>
                <c:ptCount val="1"/>
                <c:pt idx="0">
                  <c:v>21/02/2020 08:34</c:v>
                </c:pt>
              </c:strCache>
            </c:strRef>
          </c:cat>
          <c:val>
            <c:numRef>
              <c:f>'Calculs jour'!$B$15:$B$16</c:f>
              <c:numCache>
                <c:formatCode>General</c:formatCode>
                <c:ptCount val="1"/>
                <c:pt idx="0">
                  <c:v>1</c:v>
                </c:pt>
              </c:numCache>
            </c:numRef>
          </c:val>
          <c:extLst>
            <c:ext xmlns:c16="http://schemas.microsoft.com/office/drawing/2014/chart" uri="{C3380CC4-5D6E-409C-BE32-E72D297353CC}">
              <c16:uniqueId val="{00000000-E493-4FA7-ABA0-46347A53279C}"/>
            </c:ext>
          </c:extLst>
        </c:ser>
        <c:ser>
          <c:idx val="2"/>
          <c:order val="2"/>
          <c:tx>
            <c:strRef>
              <c:f>'Calculs jour'!$D$14</c:f>
              <c:strCache>
                <c:ptCount val="1"/>
                <c:pt idx="0">
                  <c:v>Variationjour+ Table</c:v>
                </c:pt>
              </c:strCache>
            </c:strRef>
          </c:tx>
          <c:spPr>
            <a:noFill/>
            <a:ln>
              <a:noFill/>
            </a:ln>
            <a:effectLst/>
          </c:spPr>
          <c:invertIfNegative val="0"/>
          <c:cat>
            <c:strRef>
              <c:f>'Calculs jour'!$A$15:$A$16</c:f>
              <c:strCache>
                <c:ptCount val="1"/>
                <c:pt idx="0">
                  <c:v>21/02/2020 08:34</c:v>
                </c:pt>
              </c:strCache>
            </c:strRef>
          </c:cat>
          <c:val>
            <c:numRef>
              <c:f>'Calculs jour'!$D$15:$D$16</c:f>
              <c:numCache>
                <c:formatCode>0.00%</c:formatCode>
                <c:ptCount val="1"/>
                <c:pt idx="0">
                  <c:v>5.0273581817325671E-4</c:v>
                </c:pt>
              </c:numCache>
            </c:numRef>
          </c:val>
          <c:extLst>
            <c:ext xmlns:c16="http://schemas.microsoft.com/office/drawing/2014/chart" uri="{C3380CC4-5D6E-409C-BE32-E72D297353CC}">
              <c16:uniqueId val="{00000002-33F3-4DAC-8555-1DDF7ACC6001}"/>
            </c:ext>
          </c:extLst>
        </c:ser>
        <c:ser>
          <c:idx val="3"/>
          <c:order val="3"/>
          <c:tx>
            <c:strRef>
              <c:f>'Calculs jour'!$E$14</c:f>
              <c:strCache>
                <c:ptCount val="1"/>
                <c:pt idx="0">
                  <c:v>Variationjour- Table</c:v>
                </c:pt>
              </c:strCache>
            </c:strRef>
          </c:tx>
          <c:spPr>
            <a:noFill/>
            <a:ln w="25400">
              <a:noFill/>
            </a:ln>
            <a:effectLst/>
          </c:spPr>
          <c:invertIfNegative val="0"/>
          <c:cat>
            <c:strRef>
              <c:f>'Calculs jour'!$A$15:$A$16</c:f>
              <c:strCache>
                <c:ptCount val="1"/>
                <c:pt idx="0">
                  <c:v>21/02/2020 08:34</c:v>
                </c:pt>
              </c:strCache>
            </c:strRef>
          </c:cat>
          <c:val>
            <c:numRef>
              <c:f>'Calculs jour'!$E$15:$E$16</c:f>
              <c:numCache>
                <c:formatCode>0.00%</c:formatCode>
                <c:ptCount val="1"/>
                <c:pt idx="0">
                  <c:v>0</c:v>
                </c:pt>
              </c:numCache>
            </c:numRef>
          </c:val>
          <c:extLst>
            <c:ext xmlns:c16="http://schemas.microsoft.com/office/drawing/2014/chart" uri="{C3380CC4-5D6E-409C-BE32-E72D297353CC}">
              <c16:uniqueId val="{00000003-33F3-4DAC-8555-1DDF7ACC6001}"/>
            </c:ext>
          </c:extLst>
        </c:ser>
        <c:ser>
          <c:idx val="4"/>
          <c:order val="4"/>
          <c:tx>
            <c:strRef>
              <c:f>'Calculs jour'!$F$14</c:f>
              <c:strCache>
                <c:ptCount val="1"/>
                <c:pt idx="0">
                  <c:v>Min. de Drawdown</c:v>
                </c:pt>
              </c:strCache>
            </c:strRef>
          </c:tx>
          <c:spPr>
            <a:noFill/>
            <a:ln>
              <a:noFill/>
            </a:ln>
            <a:effectLst/>
          </c:spPr>
          <c:invertIfNegative val="0"/>
          <c:cat>
            <c:strRef>
              <c:f>'Calculs jour'!$A$15:$A$16</c:f>
              <c:strCache>
                <c:ptCount val="1"/>
                <c:pt idx="0">
                  <c:v>21/02/2020 08:34</c:v>
                </c:pt>
              </c:strCache>
            </c:strRef>
          </c:cat>
          <c:val>
            <c:numRef>
              <c:f>'Calculs jour'!$F$15:$F$16</c:f>
              <c:numCache>
                <c:formatCode>0.00%</c:formatCode>
                <c:ptCount val="1"/>
                <c:pt idx="0">
                  <c:v>0</c:v>
                </c:pt>
              </c:numCache>
            </c:numRef>
          </c:val>
          <c:extLst>
            <c:ext xmlns:c16="http://schemas.microsoft.com/office/drawing/2014/chart" uri="{C3380CC4-5D6E-409C-BE32-E72D297353CC}">
              <c16:uniqueId val="{00000004-33F3-4DAC-8555-1DDF7ACC6001}"/>
            </c:ext>
          </c:extLst>
        </c:ser>
        <c:ser>
          <c:idx val="5"/>
          <c:order val="5"/>
          <c:tx>
            <c:strRef>
              <c:f>'Calculs jour'!$G$14</c:f>
              <c:strCache>
                <c:ptCount val="1"/>
                <c:pt idx="0">
                  <c:v>Conforme </c:v>
                </c:pt>
              </c:strCache>
            </c:strRef>
          </c:tx>
          <c:spPr>
            <a:noFill/>
            <a:ln w="25400">
              <a:noFill/>
            </a:ln>
            <a:effectLst/>
          </c:spPr>
          <c:invertIfNegative val="0"/>
          <c:cat>
            <c:strRef>
              <c:f>'Calculs jour'!$A$15:$A$16</c:f>
              <c:strCache>
                <c:ptCount val="1"/>
                <c:pt idx="0">
                  <c:v>21/02/2020 08:34</c:v>
                </c:pt>
              </c:strCache>
            </c:strRef>
          </c:cat>
          <c:val>
            <c:numRef>
              <c:f>'Calculs jour'!$G$15:$G$16</c:f>
              <c:numCache>
                <c:formatCode>General</c:formatCode>
                <c:ptCount val="1"/>
                <c:pt idx="0">
                  <c:v>1</c:v>
                </c:pt>
              </c:numCache>
            </c:numRef>
          </c:val>
          <c:extLst>
            <c:ext xmlns:c16="http://schemas.microsoft.com/office/drawing/2014/chart" uri="{C3380CC4-5D6E-409C-BE32-E72D297353CC}">
              <c16:uniqueId val="{00000005-33F3-4DAC-8555-1DDF7ACC6001}"/>
            </c:ext>
          </c:extLst>
        </c:ser>
        <c:ser>
          <c:idx val="6"/>
          <c:order val="6"/>
          <c:tx>
            <c:strRef>
              <c:f>'Calculs jour'!$H$14</c:f>
              <c:strCache>
                <c:ptCount val="1"/>
                <c:pt idx="0">
                  <c:v>Non conforme </c:v>
                </c:pt>
              </c:strCache>
            </c:strRef>
          </c:tx>
          <c:spPr>
            <a:noFill/>
            <a:ln>
              <a:noFill/>
            </a:ln>
            <a:effectLst/>
          </c:spPr>
          <c:invertIfNegative val="0"/>
          <c:cat>
            <c:strRef>
              <c:f>'Calculs jour'!$A$15:$A$16</c:f>
              <c:strCache>
                <c:ptCount val="1"/>
                <c:pt idx="0">
                  <c:v>21/02/2020 08:34</c:v>
                </c:pt>
              </c:strCache>
            </c:strRef>
          </c:cat>
          <c:val>
            <c:numRef>
              <c:f>'Calculs jour'!$H$15:$H$16</c:f>
              <c:numCache>
                <c:formatCode>General</c:formatCode>
                <c:ptCount val="1"/>
                <c:pt idx="0">
                  <c:v>0</c:v>
                </c:pt>
              </c:numCache>
            </c:numRef>
          </c:val>
          <c:extLst>
            <c:ext xmlns:c16="http://schemas.microsoft.com/office/drawing/2014/chart" uri="{C3380CC4-5D6E-409C-BE32-E72D297353CC}">
              <c16:uniqueId val="{00000006-33F3-4DAC-8555-1DDF7ACC6001}"/>
            </c:ext>
          </c:extLst>
        </c:ser>
        <c:ser>
          <c:idx val="7"/>
          <c:order val="7"/>
          <c:tx>
            <c:strRef>
              <c:f>'Calculs jour'!$I$14</c:f>
              <c:strCache>
                <c:ptCount val="1"/>
                <c:pt idx="0">
                  <c:v>Somme de Gagnant</c:v>
                </c:pt>
              </c:strCache>
            </c:strRef>
          </c:tx>
          <c:spPr>
            <a:noFill/>
            <a:ln>
              <a:noFill/>
            </a:ln>
            <a:effectLst/>
          </c:spPr>
          <c:invertIfNegative val="0"/>
          <c:cat>
            <c:strRef>
              <c:f>'Calculs jour'!$A$15:$A$16</c:f>
              <c:strCache>
                <c:ptCount val="1"/>
                <c:pt idx="0">
                  <c:v>21/02/2020 08:34</c:v>
                </c:pt>
              </c:strCache>
            </c:strRef>
          </c:cat>
          <c:val>
            <c:numRef>
              <c:f>'Calculs jour'!$I$15:$I$16</c:f>
              <c:numCache>
                <c:formatCode>General</c:formatCode>
                <c:ptCount val="1"/>
                <c:pt idx="0">
                  <c:v>1</c:v>
                </c:pt>
              </c:numCache>
            </c:numRef>
          </c:val>
          <c:extLst>
            <c:ext xmlns:c16="http://schemas.microsoft.com/office/drawing/2014/chart" uri="{C3380CC4-5D6E-409C-BE32-E72D297353CC}">
              <c16:uniqueId val="{00000007-33F3-4DAC-8555-1DDF7ACC6001}"/>
            </c:ext>
          </c:extLst>
        </c:ser>
        <c:ser>
          <c:idx val="8"/>
          <c:order val="8"/>
          <c:tx>
            <c:strRef>
              <c:f>'Calculs jour'!$J$14</c:f>
              <c:strCache>
                <c:ptCount val="1"/>
                <c:pt idx="0">
                  <c:v>Somme de Perdant</c:v>
                </c:pt>
              </c:strCache>
            </c:strRef>
          </c:tx>
          <c:spPr>
            <a:noFill/>
            <a:ln>
              <a:noFill/>
            </a:ln>
            <a:effectLst/>
          </c:spPr>
          <c:invertIfNegative val="0"/>
          <c:cat>
            <c:strRef>
              <c:f>'Calculs jour'!$A$15:$A$16</c:f>
              <c:strCache>
                <c:ptCount val="1"/>
                <c:pt idx="0">
                  <c:v>21/02/2020 08:34</c:v>
                </c:pt>
              </c:strCache>
            </c:strRef>
          </c:cat>
          <c:val>
            <c:numRef>
              <c:f>'Calculs jour'!$J$15:$J$16</c:f>
              <c:numCache>
                <c:formatCode>General</c:formatCode>
                <c:ptCount val="1"/>
                <c:pt idx="0">
                  <c:v>0</c:v>
                </c:pt>
              </c:numCache>
            </c:numRef>
          </c:val>
          <c:extLst>
            <c:ext xmlns:c16="http://schemas.microsoft.com/office/drawing/2014/chart" uri="{C3380CC4-5D6E-409C-BE32-E72D297353CC}">
              <c16:uniqueId val="{00000008-33F3-4DAC-8555-1DDF7ACC6001}"/>
            </c:ext>
          </c:extLst>
        </c:ser>
        <c:ser>
          <c:idx val="9"/>
          <c:order val="9"/>
          <c:tx>
            <c:strRef>
              <c:f>'Calculs jour'!$K$14</c:f>
              <c:strCache>
                <c:ptCount val="1"/>
                <c:pt idx="0">
                  <c:v>Nombre de Résultat</c:v>
                </c:pt>
              </c:strCache>
            </c:strRef>
          </c:tx>
          <c:spPr>
            <a:noFill/>
            <a:ln>
              <a:noFill/>
            </a:ln>
            <a:effectLst/>
          </c:spPr>
          <c:invertIfNegative val="0"/>
          <c:cat>
            <c:strRef>
              <c:f>'Calculs jour'!$A$15:$A$16</c:f>
              <c:strCache>
                <c:ptCount val="1"/>
                <c:pt idx="0">
                  <c:v>21/02/2020 08:34</c:v>
                </c:pt>
              </c:strCache>
            </c:strRef>
          </c:cat>
          <c:val>
            <c:numRef>
              <c:f>'Calculs jour'!$K$15:$K$16</c:f>
              <c:numCache>
                <c:formatCode>General</c:formatCode>
                <c:ptCount val="1"/>
                <c:pt idx="0">
                  <c:v>1</c:v>
                </c:pt>
              </c:numCache>
            </c:numRef>
          </c:val>
          <c:extLst>
            <c:ext xmlns:c16="http://schemas.microsoft.com/office/drawing/2014/chart" uri="{C3380CC4-5D6E-409C-BE32-E72D297353CC}">
              <c16:uniqueId val="{00000009-33F3-4DAC-8555-1DDF7ACC6001}"/>
            </c:ext>
          </c:extLst>
        </c:ser>
        <c:ser>
          <c:idx val="10"/>
          <c:order val="10"/>
          <c:tx>
            <c:strRef>
              <c:f>'Calculs jour'!$L$14</c:f>
              <c:strCache>
                <c:ptCount val="1"/>
                <c:pt idx="0">
                  <c:v>Somme de Points Gagnant</c:v>
                </c:pt>
              </c:strCache>
            </c:strRef>
          </c:tx>
          <c:spPr>
            <a:noFill/>
            <a:ln>
              <a:noFill/>
            </a:ln>
            <a:effectLst/>
          </c:spPr>
          <c:invertIfNegative val="0"/>
          <c:cat>
            <c:strRef>
              <c:f>'Calculs jour'!$A$15:$A$16</c:f>
              <c:strCache>
                <c:ptCount val="1"/>
                <c:pt idx="0">
                  <c:v>21/02/2020 08:34</c:v>
                </c:pt>
              </c:strCache>
            </c:strRef>
          </c:cat>
          <c:val>
            <c:numRef>
              <c:f>'Calculs jour'!$L$15:$L$16</c:f>
              <c:numCache>
                <c:formatCode>General</c:formatCode>
                <c:ptCount val="1"/>
                <c:pt idx="0">
                  <c:v>1</c:v>
                </c:pt>
              </c:numCache>
            </c:numRef>
          </c:val>
          <c:extLst>
            <c:ext xmlns:c16="http://schemas.microsoft.com/office/drawing/2014/chart" uri="{C3380CC4-5D6E-409C-BE32-E72D297353CC}">
              <c16:uniqueId val="{0000000A-33F3-4DAC-8555-1DDF7ACC6001}"/>
            </c:ext>
          </c:extLst>
        </c:ser>
        <c:ser>
          <c:idx val="11"/>
          <c:order val="11"/>
          <c:tx>
            <c:strRef>
              <c:f>'Calculs jour'!$M$14</c:f>
              <c:strCache>
                <c:ptCount val="1"/>
                <c:pt idx="0">
                  <c:v>Somme de Points perdants</c:v>
                </c:pt>
              </c:strCache>
            </c:strRef>
          </c:tx>
          <c:spPr>
            <a:noFill/>
            <a:ln>
              <a:noFill/>
            </a:ln>
            <a:effectLst/>
          </c:spPr>
          <c:invertIfNegative val="0"/>
          <c:cat>
            <c:strRef>
              <c:f>'Calculs jour'!$A$15:$A$16</c:f>
              <c:strCache>
                <c:ptCount val="1"/>
                <c:pt idx="0">
                  <c:v>21/02/2020 08:34</c:v>
                </c:pt>
              </c:strCache>
            </c:strRef>
          </c:cat>
          <c:val>
            <c:numRef>
              <c:f>'Calculs jour'!$M$15:$M$16</c:f>
              <c:numCache>
                <c:formatCode>General</c:formatCode>
                <c:ptCount val="1"/>
                <c:pt idx="0">
                  <c:v>0</c:v>
                </c:pt>
              </c:numCache>
            </c:numRef>
          </c:val>
          <c:extLst>
            <c:ext xmlns:c16="http://schemas.microsoft.com/office/drawing/2014/chart" uri="{C3380CC4-5D6E-409C-BE32-E72D297353CC}">
              <c16:uniqueId val="{0000000B-33F3-4DAC-8555-1DDF7ACC6001}"/>
            </c:ext>
          </c:extLst>
        </c:ser>
        <c:ser>
          <c:idx val="12"/>
          <c:order val="12"/>
          <c:tx>
            <c:strRef>
              <c:f>'Calculs jour'!$N$14</c:f>
              <c:strCache>
                <c:ptCount val="1"/>
                <c:pt idx="0">
                  <c:v>Moyenne de Points Gagnant</c:v>
                </c:pt>
              </c:strCache>
            </c:strRef>
          </c:tx>
          <c:spPr>
            <a:noFill/>
            <a:ln>
              <a:noFill/>
            </a:ln>
            <a:effectLst/>
          </c:spPr>
          <c:invertIfNegative val="0"/>
          <c:cat>
            <c:strRef>
              <c:f>'Calculs jour'!$A$15:$A$16</c:f>
              <c:strCache>
                <c:ptCount val="1"/>
                <c:pt idx="0">
                  <c:v>21/02/2020 08:34</c:v>
                </c:pt>
              </c:strCache>
            </c:strRef>
          </c:cat>
          <c:val>
            <c:numRef>
              <c:f>'Calculs jour'!$N$15:$N$16</c:f>
              <c:numCache>
                <c:formatCode>General</c:formatCode>
                <c:ptCount val="1"/>
                <c:pt idx="0">
                  <c:v>1</c:v>
                </c:pt>
              </c:numCache>
            </c:numRef>
          </c:val>
          <c:extLst>
            <c:ext xmlns:c16="http://schemas.microsoft.com/office/drawing/2014/chart" uri="{C3380CC4-5D6E-409C-BE32-E72D297353CC}">
              <c16:uniqueId val="{0000000C-33F3-4DAC-8555-1DDF7ACC6001}"/>
            </c:ext>
          </c:extLst>
        </c:ser>
        <c:ser>
          <c:idx val="13"/>
          <c:order val="13"/>
          <c:tx>
            <c:strRef>
              <c:f>'Calculs jour'!$O$14</c:f>
              <c:strCache>
                <c:ptCount val="1"/>
                <c:pt idx="0">
                  <c:v>Moyenne de Points perdants</c:v>
                </c:pt>
              </c:strCache>
            </c:strRef>
          </c:tx>
          <c:spPr>
            <a:noFill/>
            <a:ln>
              <a:noFill/>
            </a:ln>
            <a:effectLst/>
          </c:spPr>
          <c:invertIfNegative val="0"/>
          <c:cat>
            <c:strRef>
              <c:f>'Calculs jour'!$A$15:$A$16</c:f>
              <c:strCache>
                <c:ptCount val="1"/>
                <c:pt idx="0">
                  <c:v>21/02/2020 08:34</c:v>
                </c:pt>
              </c:strCache>
            </c:strRef>
          </c:cat>
          <c:val>
            <c:numRef>
              <c:f>'Calculs jour'!$O$15:$O$16</c:f>
              <c:numCache>
                <c:formatCode>General</c:formatCode>
                <c:ptCount val="1"/>
                <c:pt idx="0">
                  <c:v>#N/A</c:v>
                </c:pt>
              </c:numCache>
            </c:numRef>
          </c:val>
          <c:extLst>
            <c:ext xmlns:c16="http://schemas.microsoft.com/office/drawing/2014/chart" uri="{C3380CC4-5D6E-409C-BE32-E72D297353CC}">
              <c16:uniqueId val="{0000000D-33F3-4DAC-8555-1DDF7ACC6001}"/>
            </c:ext>
          </c:extLst>
        </c:ser>
        <c:ser>
          <c:idx val="14"/>
          <c:order val="14"/>
          <c:tx>
            <c:strRef>
              <c:f>'Calculs jour'!$P$14</c:f>
              <c:strCache>
                <c:ptCount val="1"/>
                <c:pt idx="0">
                  <c:v>Min. de Points Gagnant</c:v>
                </c:pt>
              </c:strCache>
            </c:strRef>
          </c:tx>
          <c:spPr>
            <a:noFill/>
            <a:ln>
              <a:noFill/>
            </a:ln>
            <a:effectLst/>
          </c:spPr>
          <c:invertIfNegative val="0"/>
          <c:cat>
            <c:strRef>
              <c:f>'Calculs jour'!$A$15:$A$16</c:f>
              <c:strCache>
                <c:ptCount val="1"/>
                <c:pt idx="0">
                  <c:v>21/02/2020 08:34</c:v>
                </c:pt>
              </c:strCache>
            </c:strRef>
          </c:cat>
          <c:val>
            <c:numRef>
              <c:f>'Calculs jour'!$P$15:$P$16</c:f>
              <c:numCache>
                <c:formatCode>General</c:formatCode>
                <c:ptCount val="1"/>
                <c:pt idx="0">
                  <c:v>1</c:v>
                </c:pt>
              </c:numCache>
            </c:numRef>
          </c:val>
          <c:extLst>
            <c:ext xmlns:c16="http://schemas.microsoft.com/office/drawing/2014/chart" uri="{C3380CC4-5D6E-409C-BE32-E72D297353CC}">
              <c16:uniqueId val="{0000000E-33F3-4DAC-8555-1DDF7ACC6001}"/>
            </c:ext>
          </c:extLst>
        </c:ser>
        <c:ser>
          <c:idx val="15"/>
          <c:order val="15"/>
          <c:tx>
            <c:strRef>
              <c:f>'Calculs jour'!$Q$14</c:f>
              <c:strCache>
                <c:ptCount val="1"/>
                <c:pt idx="0">
                  <c:v>Min. de Points perdants</c:v>
                </c:pt>
              </c:strCache>
            </c:strRef>
          </c:tx>
          <c:spPr>
            <a:noFill/>
            <a:ln>
              <a:noFill/>
            </a:ln>
            <a:effectLst/>
          </c:spPr>
          <c:invertIfNegative val="0"/>
          <c:cat>
            <c:strRef>
              <c:f>'Calculs jour'!$A$15:$A$16</c:f>
              <c:strCache>
                <c:ptCount val="1"/>
                <c:pt idx="0">
                  <c:v>21/02/2020 08:34</c:v>
                </c:pt>
              </c:strCache>
            </c:strRef>
          </c:cat>
          <c:val>
            <c:numRef>
              <c:f>'Calculs jour'!$Q$15:$Q$16</c:f>
              <c:numCache>
                <c:formatCode>General</c:formatCode>
                <c:ptCount val="1"/>
                <c:pt idx="0">
                  <c:v>0</c:v>
                </c:pt>
              </c:numCache>
            </c:numRef>
          </c:val>
          <c:extLst>
            <c:ext xmlns:c16="http://schemas.microsoft.com/office/drawing/2014/chart" uri="{C3380CC4-5D6E-409C-BE32-E72D297353CC}">
              <c16:uniqueId val="{0000000F-33F3-4DAC-8555-1DDF7ACC6001}"/>
            </c:ext>
          </c:extLst>
        </c:ser>
        <c:ser>
          <c:idx val="17"/>
          <c:order val="17"/>
          <c:tx>
            <c:strRef>
              <c:f>'Calculs jour'!$S$14</c:f>
              <c:strCache>
                <c:ptCount val="1"/>
                <c:pt idx="0">
                  <c:v>Max. de Points perdants</c:v>
                </c:pt>
              </c:strCache>
            </c:strRef>
          </c:tx>
          <c:spPr>
            <a:noFill/>
            <a:ln w="25400">
              <a:noFill/>
            </a:ln>
            <a:effectLst/>
          </c:spPr>
          <c:invertIfNegative val="0"/>
          <c:cat>
            <c:strRef>
              <c:f>'Calculs jour'!$A$15:$A$16</c:f>
              <c:strCache>
                <c:ptCount val="1"/>
                <c:pt idx="0">
                  <c:v>21/02/2020 08:34</c:v>
                </c:pt>
              </c:strCache>
            </c:strRef>
          </c:cat>
          <c:val>
            <c:numRef>
              <c:f>'Calculs jour'!$S$15:$S$16</c:f>
              <c:numCache>
                <c:formatCode>General</c:formatCode>
                <c:ptCount val="1"/>
                <c:pt idx="0">
                  <c:v>0</c:v>
                </c:pt>
              </c:numCache>
            </c:numRef>
          </c:val>
          <c:extLst>
            <c:ext xmlns:c16="http://schemas.microsoft.com/office/drawing/2014/chart" uri="{C3380CC4-5D6E-409C-BE32-E72D297353CC}">
              <c16:uniqueId val="{00000011-33F3-4DAC-8555-1DDF7ACC6001}"/>
            </c:ext>
          </c:extLst>
        </c:ser>
        <c:ser>
          <c:idx val="18"/>
          <c:order val="18"/>
          <c:tx>
            <c:strRef>
              <c:f>'Calculs jour'!$T$14</c:f>
              <c:strCache>
                <c:ptCount val="1"/>
                <c:pt idx="0">
                  <c:v>Moyenne de Note du trade</c:v>
                </c:pt>
              </c:strCache>
            </c:strRef>
          </c:tx>
          <c:spPr>
            <a:noFill/>
            <a:ln>
              <a:noFill/>
            </a:ln>
            <a:effectLst/>
          </c:spPr>
          <c:invertIfNegative val="0"/>
          <c:cat>
            <c:strRef>
              <c:f>'Calculs jour'!$A$15:$A$16</c:f>
              <c:strCache>
                <c:ptCount val="1"/>
                <c:pt idx="0">
                  <c:v>21/02/2020 08:34</c:v>
                </c:pt>
              </c:strCache>
            </c:strRef>
          </c:cat>
          <c:val>
            <c:numRef>
              <c:f>'Calculs jour'!$T$15:$T$16</c:f>
              <c:numCache>
                <c:formatCode>General</c:formatCode>
                <c:ptCount val="1"/>
                <c:pt idx="0">
                  <c:v>7</c:v>
                </c:pt>
              </c:numCache>
            </c:numRef>
          </c:val>
          <c:extLst>
            <c:ext xmlns:c16="http://schemas.microsoft.com/office/drawing/2014/chart" uri="{C3380CC4-5D6E-409C-BE32-E72D297353CC}">
              <c16:uniqueId val="{00000012-33F3-4DAC-8555-1DDF7ACC6001}"/>
            </c:ext>
          </c:extLst>
        </c:ser>
        <c:dLbls>
          <c:showLegendKey val="0"/>
          <c:showVal val="0"/>
          <c:showCatName val="0"/>
          <c:showSerName val="0"/>
          <c:showPercent val="0"/>
          <c:showBubbleSize val="0"/>
        </c:dLbls>
        <c:gapWidth val="0"/>
        <c:overlap val="100"/>
        <c:axId val="296419887"/>
        <c:axId val="39923295"/>
      </c:barChart>
      <c:barChart>
        <c:barDir val="col"/>
        <c:grouping val="clustered"/>
        <c:varyColors val="0"/>
        <c:ser>
          <c:idx val="16"/>
          <c:order val="16"/>
          <c:tx>
            <c:strRef>
              <c:f>'Calculs jour'!$R$14</c:f>
              <c:strCache>
                <c:ptCount val="1"/>
                <c:pt idx="0">
                  <c:v>Max. de Points Gagnant</c:v>
                </c:pt>
              </c:strCache>
            </c:strRef>
          </c:tx>
          <c:spPr>
            <a:noFill/>
            <a:ln>
              <a:noFill/>
            </a:ln>
            <a:effectLst/>
          </c:spPr>
          <c:invertIfNegative val="0"/>
          <c:cat>
            <c:strRef>
              <c:f>'Calculs jour'!$A$15:$A$16</c:f>
              <c:strCache>
                <c:ptCount val="1"/>
                <c:pt idx="0">
                  <c:v>21/02/2020 08:34</c:v>
                </c:pt>
              </c:strCache>
            </c:strRef>
          </c:cat>
          <c:val>
            <c:numRef>
              <c:f>'Calculs jour'!$R$15:$R$16</c:f>
              <c:numCache>
                <c:formatCode>General</c:formatCode>
                <c:ptCount val="1"/>
                <c:pt idx="0">
                  <c:v>1</c:v>
                </c:pt>
              </c:numCache>
            </c:numRef>
          </c:val>
          <c:extLst>
            <c:ext xmlns:c16="http://schemas.microsoft.com/office/drawing/2014/chart" uri="{C3380CC4-5D6E-409C-BE32-E72D297353CC}">
              <c16:uniqueId val="{00000010-33F3-4DAC-8555-1DDF7ACC6001}"/>
            </c:ext>
          </c:extLst>
        </c:ser>
        <c:dLbls>
          <c:showLegendKey val="0"/>
          <c:showVal val="0"/>
          <c:showCatName val="0"/>
          <c:showSerName val="0"/>
          <c:showPercent val="0"/>
          <c:showBubbleSize val="0"/>
        </c:dLbls>
        <c:gapWidth val="0"/>
        <c:overlap val="100"/>
        <c:axId val="1811308159"/>
        <c:axId val="1127619903"/>
      </c:barChart>
      <c:lineChart>
        <c:grouping val="standard"/>
        <c:varyColors val="0"/>
        <c:ser>
          <c:idx val="1"/>
          <c:order val="1"/>
          <c:tx>
            <c:strRef>
              <c:f>'Calculs jour'!$C$14</c:f>
              <c:strCache>
                <c:ptCount val="1"/>
                <c:pt idx="0">
                  <c:v>Points cumulés</c:v>
                </c:pt>
              </c:strCache>
            </c:strRef>
          </c:tx>
          <c:spPr>
            <a:ln w="22225" cap="rnd">
              <a:solidFill>
                <a:srgbClr val="4F81BD"/>
              </a:solidFill>
              <a:round/>
            </a:ln>
            <a:effectLst/>
          </c:spPr>
          <c:marker>
            <c:symbol val="circle"/>
            <c:size val="6"/>
            <c:spPr>
              <a:solidFill>
                <a:sysClr val="window" lastClr="FFFFFF"/>
              </a:solidFill>
              <a:ln w="15875">
                <a:solidFill>
                  <a:srgbClr val="4F81BD"/>
                </a:solidFill>
                <a:round/>
              </a:ln>
              <a:effectLst/>
            </c:spPr>
          </c:marker>
          <c:dLbls>
            <c:numFmt formatCode="0.0\ &quot;Pts&quot;;\-\ 0.0\ &quot;Pts&quot;;&quot;&quot;" sourceLinked="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rgbClr val="0070C0"/>
                    </a:solidFill>
                    <a:latin typeface="+mn-lt"/>
                    <a:ea typeface="+mn-ea"/>
                    <a:cs typeface="+mn-cs"/>
                  </a:defRPr>
                </a:pPr>
                <a:endParaRPr lang="fr-FR"/>
              </a:p>
            </c:txPr>
            <c:dLblPos val="b"/>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dk1">
                          <a:lumMod val="35000"/>
                          <a:lumOff val="65000"/>
                        </a:schemeClr>
                      </a:solidFill>
                      <a:round/>
                    </a:ln>
                    <a:effectLst/>
                  </c:spPr>
                </c15:leaderLines>
              </c:ext>
            </c:extLst>
          </c:dLbls>
          <c:cat>
            <c:strRef>
              <c:f>'Calculs jour'!$A$15:$A$16</c:f>
              <c:strCache>
                <c:ptCount val="1"/>
                <c:pt idx="0">
                  <c:v>21/02/2020 08:34</c:v>
                </c:pt>
              </c:strCache>
            </c:strRef>
          </c:cat>
          <c:val>
            <c:numRef>
              <c:f>'Calculs jour'!$C$15:$C$16</c:f>
              <c:numCache>
                <c:formatCode>General</c:formatCode>
                <c:ptCount val="1"/>
                <c:pt idx="0">
                  <c:v>1</c:v>
                </c:pt>
              </c:numCache>
            </c:numRef>
          </c:val>
          <c:smooth val="0"/>
          <c:extLst>
            <c:ext xmlns:c16="http://schemas.microsoft.com/office/drawing/2014/chart" uri="{C3380CC4-5D6E-409C-BE32-E72D297353CC}">
              <c16:uniqueId val="{00000001-33F3-4DAC-8555-1DDF7ACC6001}"/>
            </c:ext>
          </c:extLst>
        </c:ser>
        <c:dLbls>
          <c:showLegendKey val="0"/>
          <c:showVal val="0"/>
          <c:showCatName val="0"/>
          <c:showSerName val="0"/>
          <c:showPercent val="0"/>
          <c:showBubbleSize val="0"/>
        </c:dLbls>
        <c:marker val="1"/>
        <c:smooth val="0"/>
        <c:axId val="296419887"/>
        <c:axId val="39923295"/>
      </c:lineChart>
      <c:lineChart>
        <c:grouping val="standard"/>
        <c:varyColors val="0"/>
        <c:ser>
          <c:idx val="19"/>
          <c:order val="19"/>
          <c:tx>
            <c:strRef>
              <c:f>'Calculs jour'!$U$14</c:f>
              <c:strCache>
                <c:ptCount val="1"/>
                <c:pt idx="0">
                  <c:v>Somme de Levier</c:v>
                </c:pt>
              </c:strCache>
            </c:strRef>
          </c:tx>
          <c:spPr>
            <a:ln w="22225" cap="rnd">
              <a:solidFill>
                <a:schemeClr val="accent2">
                  <a:lumMod val="80000"/>
                </a:schemeClr>
              </a:solidFill>
              <a:round/>
            </a:ln>
            <a:effectLst/>
          </c:spPr>
          <c:marker>
            <c:symbol val="circle"/>
            <c:size val="6"/>
            <c:spPr>
              <a:solidFill>
                <a:schemeClr val="lt1"/>
              </a:solidFill>
              <a:ln w="15875">
                <a:solidFill>
                  <a:schemeClr val="accent2">
                    <a:lumMod val="80000"/>
                  </a:schemeClr>
                </a:solidFill>
                <a:round/>
              </a:ln>
              <a:effectLst/>
            </c:spPr>
          </c:marker>
          <c:dLbls>
            <c:numFmt formatCode="#,##0.0" sourceLinked="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rgbClr val="C00000"/>
                    </a:solidFill>
                    <a:latin typeface="+mn-lt"/>
                    <a:ea typeface="+mn-ea"/>
                    <a:cs typeface="+mn-cs"/>
                  </a:defRPr>
                </a:pPr>
                <a:endParaRPr lang="fr-FR"/>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dk1">
                          <a:lumMod val="35000"/>
                          <a:lumOff val="65000"/>
                        </a:schemeClr>
                      </a:solidFill>
                      <a:round/>
                    </a:ln>
                    <a:effectLst/>
                  </c:spPr>
                </c15:leaderLines>
              </c:ext>
            </c:extLst>
          </c:dLbls>
          <c:cat>
            <c:strRef>
              <c:f>'Calculs jour'!$A$15:$A$16</c:f>
              <c:strCache>
                <c:ptCount val="1"/>
                <c:pt idx="0">
                  <c:v>21/02/2020 08:34</c:v>
                </c:pt>
              </c:strCache>
            </c:strRef>
          </c:cat>
          <c:val>
            <c:numRef>
              <c:f>'Calculs jour'!$U$15:$U$16</c:f>
              <c:numCache>
                <c:formatCode>General</c:formatCode>
                <c:ptCount val="1"/>
                <c:pt idx="0">
                  <c:v>14.150954650860555</c:v>
                </c:pt>
              </c:numCache>
            </c:numRef>
          </c:val>
          <c:smooth val="0"/>
          <c:extLst>
            <c:ext xmlns:c16="http://schemas.microsoft.com/office/drawing/2014/chart" uri="{C3380CC4-5D6E-409C-BE32-E72D297353CC}">
              <c16:uniqueId val="{00000000-CF20-4E37-8E74-5E78378C7659}"/>
            </c:ext>
          </c:extLst>
        </c:ser>
        <c:dLbls>
          <c:showLegendKey val="0"/>
          <c:showVal val="0"/>
          <c:showCatName val="0"/>
          <c:showSerName val="0"/>
          <c:showPercent val="0"/>
          <c:showBubbleSize val="0"/>
        </c:dLbls>
        <c:marker val="1"/>
        <c:smooth val="0"/>
        <c:axId val="1811308159"/>
        <c:axId val="1127619903"/>
      </c:lineChart>
      <c:valAx>
        <c:axId val="39923295"/>
        <c:scaling>
          <c:orientation val="minMax"/>
        </c:scaling>
        <c:delete val="0"/>
        <c:axPos val="l"/>
        <c:numFmt formatCode="General" sourceLinked="1"/>
        <c:majorTickMark val="out"/>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rgbClr val="0070C0"/>
                </a:solidFill>
                <a:latin typeface="+mn-lt"/>
                <a:ea typeface="+mn-ea"/>
                <a:cs typeface="+mn-cs"/>
              </a:defRPr>
            </a:pPr>
            <a:endParaRPr lang="fr-FR"/>
          </a:p>
        </c:txPr>
        <c:crossAx val="296419887"/>
        <c:crosses val="autoZero"/>
        <c:crossBetween val="between"/>
      </c:valAx>
      <c:catAx>
        <c:axId val="296419887"/>
        <c:scaling>
          <c:orientation val="minMax"/>
        </c:scaling>
        <c:delete val="1"/>
        <c:axPos val="b"/>
        <c:numFmt formatCode="General" sourceLinked="1"/>
        <c:majorTickMark val="out"/>
        <c:minorTickMark val="none"/>
        <c:tickLblPos val="nextTo"/>
        <c:crossAx val="39923295"/>
        <c:crosses val="autoZero"/>
        <c:auto val="1"/>
        <c:lblAlgn val="ctr"/>
        <c:lblOffset val="100"/>
        <c:noMultiLvlLbl val="0"/>
      </c:catAx>
      <c:valAx>
        <c:axId val="1127619903"/>
        <c:scaling>
          <c:orientation val="minMax"/>
        </c:scaling>
        <c:delete val="0"/>
        <c:axPos val="r"/>
        <c:numFmt formatCode="General" sourceLinked="1"/>
        <c:majorTickMark val="out"/>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rgbClr val="C00000"/>
                </a:solidFill>
                <a:latin typeface="+mn-lt"/>
                <a:ea typeface="+mn-ea"/>
                <a:cs typeface="+mn-cs"/>
              </a:defRPr>
            </a:pPr>
            <a:endParaRPr lang="fr-FR"/>
          </a:p>
        </c:txPr>
        <c:crossAx val="1811308159"/>
        <c:crosses val="max"/>
        <c:crossBetween val="between"/>
      </c:valAx>
      <c:catAx>
        <c:axId val="1811308159"/>
        <c:scaling>
          <c:orientation val="minMax"/>
        </c:scaling>
        <c:delete val="1"/>
        <c:axPos val="b"/>
        <c:numFmt formatCode="General" sourceLinked="1"/>
        <c:majorTickMark val="out"/>
        <c:minorTickMark val="none"/>
        <c:tickLblPos val="nextTo"/>
        <c:crossAx val="1127619903"/>
        <c:crosses val="autoZero"/>
        <c:auto val="1"/>
        <c:lblAlgn val="ctr"/>
        <c:lblOffset val="100"/>
        <c:noMultiLvlLbl val="0"/>
      </c:catAx>
      <c:spPr>
        <a:pattFill prst="ltDnDiag">
          <a:fgClr>
            <a:schemeClr val="dk1">
              <a:lumMod val="15000"/>
              <a:lumOff val="85000"/>
            </a:schemeClr>
          </a:fgClr>
          <a:bgClr>
            <a:schemeClr val="lt1"/>
          </a:bgClr>
        </a:pattFill>
        <a:ln>
          <a:noFill/>
        </a:ln>
        <a:effectLst/>
      </c:spPr>
    </c:plotArea>
    <c:plotVisOnly val="1"/>
    <c:dispBlanksAs val="gap"/>
    <c:showDLblsOverMax val="0"/>
    <c:extLst/>
  </c:chart>
  <c:spPr>
    <a:noFill/>
    <a:ln w="9525" cap="flat" cmpd="sng" algn="ctr">
      <a:noFill/>
      <a:round/>
    </a:ln>
    <a:effectLst/>
  </c:spPr>
  <c:txPr>
    <a:bodyPr/>
    <a:lstStyle/>
    <a:p>
      <a:pPr>
        <a:defRPr/>
      </a:pPr>
      <a:endParaRPr lang="fr-FR"/>
    </a:p>
  </c:txPr>
  <c:printSettings>
    <c:headerFooter/>
    <c:pageMargins b="0.75" l="0.7" r="0.7" t="0.75" header="0.3" footer="0.3"/>
    <c:pageSetup/>
  </c:printSettings>
  <c:extLst>
    <c:ext xmlns:c14="http://schemas.microsoft.com/office/drawing/2007/8/2/chart" uri="{781A3756-C4B2-4CAC-9D66-4F8BD8637D16}">
      <c14:pivotOptions>
        <c14:dropZoneFilter val="1"/>
        <c14:dropZoneCategories val="1"/>
        <c14:dropZoneData val="1"/>
      </c14:pivotOptions>
    </c:ext>
    <c:ext xmlns:c16="http://schemas.microsoft.com/office/drawing/2014/chart" uri="{E28EC0CA-F0BB-4C9C-879D-F8772B89E7AC}">
      <c16:pivotOptions16>
        <c16:showExpandCollapseFieldButtons val="1"/>
      </c16:pivotOptions16>
    </c:ext>
  </c:extLst>
</c:chartSpace>
</file>

<file path=xl/charts/chart1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pivotSource>
    <c:name>[Journal V0.5.8.xlsm]Calculs jour!Tableau croisé dynamique2</c:name>
    <c:fmtId val="15"/>
  </c:pivotSource>
  <c:chart>
    <c:title>
      <c:tx>
        <c:rich>
          <a:bodyPr rot="0" spcFirstLastPara="1" vertOverflow="ellipsis" vert="horz" wrap="square" anchor="ctr" anchorCtr="1"/>
          <a:lstStyle/>
          <a:p>
            <a:pPr marL="0" marR="0" lvl="0" indent="0" algn="ctr" defTabSz="914400" rtl="0" eaLnBrk="1" fontAlgn="auto" latinLnBrk="0" hangingPunct="1">
              <a:lnSpc>
                <a:spcPct val="100000"/>
              </a:lnSpc>
              <a:spcBef>
                <a:spcPts val="0"/>
              </a:spcBef>
              <a:spcAft>
                <a:spcPts val="0"/>
              </a:spcAft>
              <a:buClrTx/>
              <a:buSzTx/>
              <a:buFontTx/>
              <a:buNone/>
              <a:tabLst/>
              <a:defRPr sz="1200" b="0" i="0" u="none" strike="noStrike" kern="1200" cap="none" spc="0" normalizeH="0" baseline="0">
                <a:solidFill>
                  <a:sysClr val="windowText" lastClr="000000">
                    <a:lumMod val="50000"/>
                    <a:lumOff val="50000"/>
                  </a:sysClr>
                </a:solidFill>
                <a:latin typeface="Cambria" panose="02040503050406030204" pitchFamily="18" charset="0"/>
                <a:ea typeface="+mj-ea"/>
                <a:cs typeface="+mj-cs"/>
              </a:defRPr>
            </a:pPr>
            <a:r>
              <a:rPr lang="fr-FR" sz="1200"/>
              <a:t>Points -</a:t>
            </a:r>
            <a:r>
              <a:rPr lang="fr-FR" sz="1200" b="0" i="0" baseline="0">
                <a:effectLst/>
              </a:rPr>
              <a:t> Conformités</a:t>
            </a:r>
            <a:endParaRPr lang="fr-FR" sz="1200">
              <a:effectLst/>
            </a:endParaRPr>
          </a:p>
        </c:rich>
      </c:tx>
      <c:overlay val="0"/>
      <c:spPr>
        <a:noFill/>
        <a:ln>
          <a:noFill/>
        </a:ln>
        <a:effectLst/>
      </c:spPr>
      <c:txPr>
        <a:bodyPr rot="0" spcFirstLastPara="1" vertOverflow="ellipsis" vert="horz" wrap="square" anchor="ctr" anchorCtr="1"/>
        <a:lstStyle/>
        <a:p>
          <a:pPr marL="0" marR="0" lvl="0" indent="0" algn="ctr" defTabSz="914400" rtl="0" eaLnBrk="1" fontAlgn="auto" latinLnBrk="0" hangingPunct="1">
            <a:lnSpc>
              <a:spcPct val="100000"/>
            </a:lnSpc>
            <a:spcBef>
              <a:spcPts val="0"/>
            </a:spcBef>
            <a:spcAft>
              <a:spcPts val="0"/>
            </a:spcAft>
            <a:buClrTx/>
            <a:buSzTx/>
            <a:buFontTx/>
            <a:buNone/>
            <a:tabLst/>
            <a:defRPr sz="1200" b="0" i="0" u="none" strike="noStrike" kern="1200" cap="none" spc="0" normalizeH="0" baseline="0">
              <a:solidFill>
                <a:sysClr val="windowText" lastClr="000000">
                  <a:lumMod val="50000"/>
                  <a:lumOff val="50000"/>
                </a:sysClr>
              </a:solidFill>
              <a:latin typeface="Cambria" panose="02040503050406030204" pitchFamily="18" charset="0"/>
              <a:ea typeface="+mj-ea"/>
              <a:cs typeface="+mj-cs"/>
            </a:defRPr>
          </a:pPr>
          <a:endParaRPr lang="fr-FR"/>
        </a:p>
      </c:txPr>
    </c:title>
    <c:autoTitleDeleted val="0"/>
    <c:pivotFmts>
      <c:pivotFmt>
        <c:idx val="0"/>
        <c:dLbl>
          <c:idx val="0"/>
          <c:showLegendKey val="0"/>
          <c:showVal val="0"/>
          <c:showCatName val="0"/>
          <c:showSerName val="0"/>
          <c:showPercent val="0"/>
          <c:showBubbleSize val="0"/>
          <c:extLst>
            <c:ext xmlns:c15="http://schemas.microsoft.com/office/drawing/2012/chart" uri="{CE6537A1-D6FC-4f65-9D91-7224C49458BB}"/>
          </c:extLst>
        </c:dLbl>
      </c:pivotFmt>
      <c:pivotFmt>
        <c:idx val="1"/>
        <c:dLbl>
          <c:idx val="0"/>
          <c:showLegendKey val="0"/>
          <c:showVal val="0"/>
          <c:showCatName val="0"/>
          <c:showSerName val="0"/>
          <c:showPercent val="0"/>
          <c:showBubbleSize val="0"/>
          <c:extLst>
            <c:ext xmlns:c15="http://schemas.microsoft.com/office/drawing/2012/chart" uri="{CE6537A1-D6FC-4f65-9D91-7224C49458BB}"/>
          </c:extLst>
        </c:dLbl>
      </c:pivotFmt>
      <c:pivotFmt>
        <c:idx val="2"/>
        <c:dLbl>
          <c:idx val="0"/>
          <c:showLegendKey val="0"/>
          <c:showVal val="0"/>
          <c:showCatName val="0"/>
          <c:showSerName val="0"/>
          <c:showPercent val="0"/>
          <c:showBubbleSize val="0"/>
          <c:extLst>
            <c:ext xmlns:c15="http://schemas.microsoft.com/office/drawing/2012/chart" uri="{CE6537A1-D6FC-4f65-9D91-7224C49458BB}"/>
          </c:extLst>
        </c:dLbl>
      </c:pivotFmt>
      <c:pivotFmt>
        <c:idx val="3"/>
        <c:dLbl>
          <c:idx val="0"/>
          <c:showLegendKey val="0"/>
          <c:showVal val="0"/>
          <c:showCatName val="0"/>
          <c:showSerName val="0"/>
          <c:showPercent val="0"/>
          <c:showBubbleSize val="0"/>
          <c:extLst>
            <c:ext xmlns:c15="http://schemas.microsoft.com/office/drawing/2012/chart" uri="{CE6537A1-D6FC-4f65-9D91-7224C49458BB}"/>
          </c:extLst>
        </c:dLbl>
      </c:pivotFmt>
      <c:pivotFmt>
        <c:idx val="4"/>
        <c:spPr>
          <a:pattFill prst="ltUpDiag">
            <a:fgClr>
              <a:srgbClr val="0070C0"/>
            </a:fgClr>
            <a:bgClr>
              <a:schemeClr val="bg1"/>
            </a:bgClr>
          </a:pattFill>
          <a:ln>
            <a:noFill/>
          </a:ln>
          <a:effectLst>
            <a:innerShdw blurRad="114300">
              <a:srgbClr val="0070C0"/>
            </a:innerShdw>
          </a:effectLst>
        </c:spPr>
        <c:marker>
          <c:symbol val="none"/>
        </c:marker>
        <c:dLbl>
          <c:idx val="0"/>
          <c:numFmt formatCode="0.0\ &quot;Pts&quot;;\-\ 0.0\ &quot;Pts&quot;;&quot;&quot;" sourceLinked="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dk1">
                      <a:lumMod val="75000"/>
                      <a:lumOff val="25000"/>
                    </a:schemeClr>
                  </a:solidFill>
                  <a:latin typeface="+mn-lt"/>
                  <a:ea typeface="+mn-ea"/>
                  <a:cs typeface="+mn-cs"/>
                </a:defRPr>
              </a:pPr>
              <a:endParaRPr lang="fr-FR"/>
            </a:p>
          </c:txPr>
          <c:showLegendKey val="0"/>
          <c:showVal val="1"/>
          <c:showCatName val="0"/>
          <c:showSerName val="0"/>
          <c:showPercent val="0"/>
          <c:showBubbleSize val="0"/>
          <c:extLst>
            <c:ext xmlns:c15="http://schemas.microsoft.com/office/drawing/2012/chart" uri="{CE6537A1-D6FC-4f65-9D91-7224C49458BB}"/>
          </c:extLst>
        </c:dLbl>
      </c:pivotFmt>
      <c:pivotFmt>
        <c:idx val="5"/>
        <c:spPr>
          <a:pattFill prst="ltUpDiag">
            <a:fgClr>
              <a:srgbClr val="C00000"/>
            </a:fgClr>
            <a:bgClr>
              <a:schemeClr val="bg1"/>
            </a:bgClr>
          </a:pattFill>
          <a:ln>
            <a:noFill/>
          </a:ln>
          <a:effectLst>
            <a:innerShdw blurRad="114300">
              <a:srgbClr val="C00000"/>
            </a:innerShdw>
          </a:effectLst>
        </c:spPr>
        <c:marker>
          <c:symbol val="none"/>
        </c:marker>
        <c:dLbl>
          <c:idx val="0"/>
          <c:numFmt formatCode="0.0\ &quot;Pts&quot;;\-\ 0.0\ &quot;Pts&quot;;&quot;&quot;" sourceLinked="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dk1">
                      <a:lumMod val="75000"/>
                      <a:lumOff val="25000"/>
                    </a:schemeClr>
                  </a:solidFill>
                  <a:latin typeface="+mn-lt"/>
                  <a:ea typeface="+mn-ea"/>
                  <a:cs typeface="+mn-cs"/>
                </a:defRPr>
              </a:pPr>
              <a:endParaRPr lang="fr-FR"/>
            </a:p>
          </c:txPr>
          <c:showLegendKey val="0"/>
          <c:showVal val="1"/>
          <c:showCatName val="0"/>
          <c:showSerName val="0"/>
          <c:showPercent val="0"/>
          <c:showBubbleSize val="0"/>
          <c:extLst>
            <c:ext xmlns:c15="http://schemas.microsoft.com/office/drawing/2012/chart" uri="{CE6537A1-D6FC-4f65-9D91-7224C49458BB}"/>
          </c:extLst>
        </c:dLbl>
      </c:pivotFmt>
      <c:pivotFmt>
        <c:idx val="6"/>
        <c:spPr>
          <a:noFill/>
          <a:ln>
            <a:noFill/>
          </a:ln>
          <a:effectLst>
            <a:innerShdw blurRad="114300">
              <a:srgbClr val="0070C0"/>
            </a:innerShdw>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dk1">
                      <a:lumMod val="75000"/>
                      <a:lumOff val="25000"/>
                    </a:schemeClr>
                  </a:solidFill>
                  <a:latin typeface="+mn-lt"/>
                  <a:ea typeface="+mn-ea"/>
                  <a:cs typeface="+mn-cs"/>
                </a:defRPr>
              </a:pPr>
              <a:endParaRPr lang="fr-FR"/>
            </a:p>
          </c:txPr>
          <c:showLegendKey val="0"/>
          <c:showVal val="0"/>
          <c:showCatName val="0"/>
          <c:showSerName val="0"/>
          <c:showPercent val="0"/>
          <c:showBubbleSize val="0"/>
          <c:extLst>
            <c:ext xmlns:c15="http://schemas.microsoft.com/office/drawing/2012/chart" uri="{CE6537A1-D6FC-4f65-9D91-7224C49458BB}"/>
          </c:extLst>
        </c:dLbl>
      </c:pivotFmt>
      <c:pivotFmt>
        <c:idx val="7"/>
        <c:spPr>
          <a:noFill/>
          <a:ln>
            <a:noFill/>
          </a:ln>
          <a:effectLst>
            <a:innerShdw blurRad="114300">
              <a:srgbClr val="C00000"/>
            </a:innerShdw>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dk1">
                      <a:lumMod val="75000"/>
                      <a:lumOff val="25000"/>
                    </a:schemeClr>
                  </a:solidFill>
                  <a:latin typeface="+mn-lt"/>
                  <a:ea typeface="+mn-ea"/>
                  <a:cs typeface="+mn-cs"/>
                </a:defRPr>
              </a:pPr>
              <a:endParaRPr lang="fr-FR"/>
            </a:p>
          </c:txPr>
          <c:showLegendKey val="0"/>
          <c:showVal val="0"/>
          <c:showCatName val="0"/>
          <c:showSerName val="0"/>
          <c:showPercent val="0"/>
          <c:showBubbleSize val="0"/>
          <c:extLst>
            <c:ext xmlns:c15="http://schemas.microsoft.com/office/drawing/2012/chart" uri="{CE6537A1-D6FC-4f65-9D91-7224C49458BB}"/>
          </c:extLst>
        </c:dLbl>
      </c:pivotFmt>
      <c:pivotFmt>
        <c:idx val="8"/>
        <c:spPr>
          <a:noFill/>
          <a:ln>
            <a:noFill/>
          </a:ln>
          <a:effectLst>
            <a:innerShdw blurRad="114300">
              <a:srgbClr val="4F81BD"/>
            </a:innerShdw>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dk1">
                      <a:lumMod val="75000"/>
                      <a:lumOff val="25000"/>
                    </a:schemeClr>
                  </a:solidFill>
                  <a:latin typeface="+mn-lt"/>
                  <a:ea typeface="+mn-ea"/>
                  <a:cs typeface="+mn-cs"/>
                </a:defRPr>
              </a:pPr>
              <a:endParaRPr lang="fr-FR"/>
            </a:p>
          </c:txPr>
          <c:showLegendKey val="0"/>
          <c:showVal val="0"/>
          <c:showCatName val="0"/>
          <c:showSerName val="0"/>
          <c:showPercent val="0"/>
          <c:showBubbleSize val="0"/>
          <c:extLst>
            <c:ext xmlns:c15="http://schemas.microsoft.com/office/drawing/2012/chart" uri="{CE6537A1-D6FC-4f65-9D91-7224C49458BB}"/>
          </c:extLst>
        </c:dLbl>
      </c:pivotFmt>
      <c:pivotFmt>
        <c:idx val="9"/>
        <c:spPr>
          <a:noFill/>
          <a:ln>
            <a:noFill/>
          </a:ln>
          <a:effectLst>
            <a:innerShdw blurRad="114300">
              <a:srgbClr val="C00000"/>
            </a:innerShdw>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dk1">
                      <a:lumMod val="75000"/>
                      <a:lumOff val="25000"/>
                    </a:schemeClr>
                  </a:solidFill>
                  <a:latin typeface="+mn-lt"/>
                  <a:ea typeface="+mn-ea"/>
                  <a:cs typeface="+mn-cs"/>
                </a:defRPr>
              </a:pPr>
              <a:endParaRPr lang="fr-FR"/>
            </a:p>
          </c:txPr>
          <c:showLegendKey val="0"/>
          <c:showVal val="0"/>
          <c:showCatName val="0"/>
          <c:showSerName val="0"/>
          <c:showPercent val="0"/>
          <c:showBubbleSize val="0"/>
          <c:extLst>
            <c:ext xmlns:c15="http://schemas.microsoft.com/office/drawing/2012/chart" uri="{CE6537A1-D6FC-4f65-9D91-7224C49458BB}"/>
          </c:extLst>
        </c:dLbl>
      </c:pivotFmt>
      <c:pivotFmt>
        <c:idx val="10"/>
        <c:spPr>
          <a:no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dk1">
                      <a:lumMod val="75000"/>
                      <a:lumOff val="25000"/>
                    </a:schemeClr>
                  </a:solidFill>
                  <a:latin typeface="+mn-lt"/>
                  <a:ea typeface="+mn-ea"/>
                  <a:cs typeface="+mn-cs"/>
                </a:defRPr>
              </a:pPr>
              <a:endParaRPr lang="fr-FR"/>
            </a:p>
          </c:txPr>
          <c:showLegendKey val="0"/>
          <c:showVal val="0"/>
          <c:showCatName val="0"/>
          <c:showSerName val="0"/>
          <c:showPercent val="0"/>
          <c:showBubbleSize val="0"/>
          <c:extLst>
            <c:ext xmlns:c15="http://schemas.microsoft.com/office/drawing/2012/chart" uri="{CE6537A1-D6FC-4f65-9D91-7224C49458BB}"/>
          </c:extLst>
        </c:dLbl>
      </c:pivotFmt>
      <c:pivotFmt>
        <c:idx val="11"/>
        <c:spPr>
          <a:solidFill>
            <a:srgbClr val="0070C0">
              <a:alpha val="15000"/>
            </a:srgbClr>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dk1">
                      <a:lumMod val="75000"/>
                      <a:lumOff val="25000"/>
                    </a:schemeClr>
                  </a:solidFill>
                  <a:latin typeface="+mn-lt"/>
                  <a:ea typeface="+mn-ea"/>
                  <a:cs typeface="+mn-cs"/>
                </a:defRPr>
              </a:pPr>
              <a:endParaRPr lang="fr-FR"/>
            </a:p>
          </c:txPr>
          <c:showLegendKey val="0"/>
          <c:showVal val="0"/>
          <c:showCatName val="0"/>
          <c:showSerName val="0"/>
          <c:showPercent val="0"/>
          <c:showBubbleSize val="0"/>
          <c:extLst>
            <c:ext xmlns:c15="http://schemas.microsoft.com/office/drawing/2012/chart" uri="{CE6537A1-D6FC-4f65-9D91-7224C49458BB}"/>
          </c:extLst>
        </c:dLbl>
      </c:pivotFmt>
      <c:pivotFmt>
        <c:idx val="12"/>
        <c:spPr>
          <a:solidFill>
            <a:srgbClr val="C00000">
              <a:alpha val="15000"/>
            </a:srgbClr>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dk1">
                      <a:lumMod val="75000"/>
                      <a:lumOff val="25000"/>
                    </a:schemeClr>
                  </a:solidFill>
                  <a:latin typeface="+mn-lt"/>
                  <a:ea typeface="+mn-ea"/>
                  <a:cs typeface="+mn-cs"/>
                </a:defRPr>
              </a:pPr>
              <a:endParaRPr lang="fr-FR"/>
            </a:p>
          </c:txPr>
          <c:showLegendKey val="0"/>
          <c:showVal val="0"/>
          <c:showCatName val="0"/>
          <c:showSerName val="0"/>
          <c:showPercent val="0"/>
          <c:showBubbleSize val="0"/>
          <c:extLst>
            <c:ext xmlns:c15="http://schemas.microsoft.com/office/drawing/2012/chart" uri="{CE6537A1-D6FC-4f65-9D91-7224C49458BB}"/>
          </c:extLst>
        </c:dLbl>
      </c:pivotFmt>
      <c:pivotFmt>
        <c:idx val="13"/>
        <c:spPr>
          <a:noFill/>
          <a:ln>
            <a:noFill/>
          </a:ln>
          <a:effectLst>
            <a:innerShdw blurRad="114300">
              <a:srgbClr val="0070C0"/>
            </a:innerShdw>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dk1">
                      <a:lumMod val="75000"/>
                      <a:lumOff val="25000"/>
                    </a:schemeClr>
                  </a:solidFill>
                  <a:latin typeface="+mn-lt"/>
                  <a:ea typeface="+mn-ea"/>
                  <a:cs typeface="+mn-cs"/>
                </a:defRPr>
              </a:pPr>
              <a:endParaRPr lang="fr-FR"/>
            </a:p>
          </c:txPr>
          <c:showLegendKey val="0"/>
          <c:showVal val="0"/>
          <c:showCatName val="0"/>
          <c:showSerName val="0"/>
          <c:showPercent val="0"/>
          <c:showBubbleSize val="0"/>
          <c:extLst>
            <c:ext xmlns:c15="http://schemas.microsoft.com/office/drawing/2012/chart" uri="{CE6537A1-D6FC-4f65-9D91-7224C49458BB}"/>
          </c:extLst>
        </c:dLbl>
      </c:pivotFmt>
      <c:pivotFmt>
        <c:idx val="14"/>
        <c:spPr>
          <a:noFill/>
          <a:ln>
            <a:noFill/>
          </a:ln>
          <a:effectLst>
            <a:innerShdw blurRad="114300">
              <a:srgbClr val="C00000"/>
            </a:innerShdw>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dk1">
                      <a:lumMod val="75000"/>
                      <a:lumOff val="25000"/>
                    </a:schemeClr>
                  </a:solidFill>
                  <a:latin typeface="+mn-lt"/>
                  <a:ea typeface="+mn-ea"/>
                  <a:cs typeface="+mn-cs"/>
                </a:defRPr>
              </a:pPr>
              <a:endParaRPr lang="fr-FR"/>
            </a:p>
          </c:txPr>
          <c:showLegendKey val="0"/>
          <c:showVal val="0"/>
          <c:showCatName val="0"/>
          <c:showSerName val="0"/>
          <c:showPercent val="0"/>
          <c:showBubbleSize val="0"/>
          <c:extLst>
            <c:ext xmlns:c15="http://schemas.microsoft.com/office/drawing/2012/chart" uri="{CE6537A1-D6FC-4f65-9D91-7224C49458BB}"/>
          </c:extLst>
        </c:dLbl>
      </c:pivotFmt>
      <c:pivotFmt>
        <c:idx val="15"/>
        <c:spPr>
          <a:noFill/>
          <a:ln>
            <a:noFill/>
          </a:ln>
          <a:effectLst>
            <a:innerShdw blurRad="114300">
              <a:srgbClr val="C00000"/>
            </a:innerShdw>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dk1">
                      <a:lumMod val="75000"/>
                      <a:lumOff val="25000"/>
                    </a:schemeClr>
                  </a:solidFill>
                  <a:latin typeface="+mn-lt"/>
                  <a:ea typeface="+mn-ea"/>
                  <a:cs typeface="+mn-cs"/>
                </a:defRPr>
              </a:pPr>
              <a:endParaRPr lang="fr-FR"/>
            </a:p>
          </c:txPr>
          <c:showLegendKey val="0"/>
          <c:showVal val="0"/>
          <c:showCatName val="0"/>
          <c:showSerName val="0"/>
          <c:showPercent val="0"/>
          <c:showBubbleSize val="0"/>
          <c:extLst>
            <c:ext xmlns:c15="http://schemas.microsoft.com/office/drawing/2012/chart" uri="{CE6537A1-D6FC-4f65-9D91-7224C49458BB}"/>
          </c:extLst>
        </c:dLbl>
      </c:pivotFmt>
      <c:pivotFmt>
        <c:idx val="16"/>
        <c:spPr>
          <a:pattFill prst="ltUpDiag">
            <a:fgClr>
              <a:srgbClr val="0070C0"/>
            </a:fgClr>
            <a:bgClr>
              <a:sysClr val="window" lastClr="FFFFFF"/>
            </a:bgClr>
          </a:pattFill>
          <a:ln>
            <a:noFill/>
          </a:ln>
          <a:effectLst>
            <a:innerShdw blurRad="114300">
              <a:srgbClr val="0070C0"/>
            </a:innerShdw>
          </a:effectLst>
        </c:spPr>
        <c:marker>
          <c:symbol val="none"/>
        </c:marker>
        <c:dLbl>
          <c:idx val="0"/>
          <c:numFmt formatCode="0.0\ &quot;Pts&quot;;\-\ 0.0\ &quot;Pts&quot;;&quot;&quot;" sourceLinked="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dk1">
                      <a:lumMod val="75000"/>
                      <a:lumOff val="25000"/>
                    </a:schemeClr>
                  </a:solidFill>
                  <a:latin typeface="+mn-lt"/>
                  <a:ea typeface="+mn-ea"/>
                  <a:cs typeface="+mn-cs"/>
                </a:defRPr>
              </a:pPr>
              <a:endParaRPr lang="fr-FR"/>
            </a:p>
          </c:txPr>
          <c:showLegendKey val="0"/>
          <c:showVal val="1"/>
          <c:showCatName val="0"/>
          <c:showSerName val="0"/>
          <c:showPercent val="0"/>
          <c:showBubbleSize val="0"/>
          <c:extLst>
            <c:ext xmlns:c15="http://schemas.microsoft.com/office/drawing/2012/chart" uri="{CE6537A1-D6FC-4f65-9D91-7224C49458BB}"/>
          </c:extLst>
        </c:dLbl>
      </c:pivotFmt>
      <c:pivotFmt>
        <c:idx val="17"/>
        <c:spPr>
          <a:pattFill prst="ltUpDiag">
            <a:fgClr>
              <a:srgbClr val="C00000"/>
            </a:fgClr>
            <a:bgClr>
              <a:sysClr val="window" lastClr="FFFFFF"/>
            </a:bgClr>
          </a:pattFill>
          <a:ln>
            <a:noFill/>
          </a:ln>
          <a:effectLst>
            <a:innerShdw blurRad="114300">
              <a:srgbClr val="C00000"/>
            </a:innerShdw>
          </a:effectLst>
        </c:spPr>
        <c:marker>
          <c:symbol val="none"/>
        </c:marker>
        <c:dLbl>
          <c:idx val="0"/>
          <c:numFmt formatCode="0.0\ &quot;Pts&quot;;\-\ 0.0\ &quot;Pts&quot;;&quot;&quot;" sourceLinked="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dk1">
                      <a:lumMod val="75000"/>
                      <a:lumOff val="25000"/>
                    </a:schemeClr>
                  </a:solidFill>
                  <a:latin typeface="+mn-lt"/>
                  <a:ea typeface="+mn-ea"/>
                  <a:cs typeface="+mn-cs"/>
                </a:defRPr>
              </a:pPr>
              <a:endParaRPr lang="fr-FR"/>
            </a:p>
          </c:txPr>
          <c:showLegendKey val="0"/>
          <c:showVal val="1"/>
          <c:showCatName val="0"/>
          <c:showSerName val="0"/>
          <c:showPercent val="0"/>
          <c:showBubbleSize val="0"/>
          <c:extLst>
            <c:ext xmlns:c15="http://schemas.microsoft.com/office/drawing/2012/chart" uri="{CE6537A1-D6FC-4f65-9D91-7224C49458BB}"/>
          </c:extLst>
        </c:dLbl>
      </c:pivotFmt>
      <c:pivotFmt>
        <c:idx val="18"/>
        <c:spPr>
          <a:noFill/>
          <a:ln>
            <a:noFill/>
          </a:ln>
          <a:effectLst>
            <a:innerShdw blurRad="114300">
              <a:srgbClr val="0070C0"/>
            </a:innerShdw>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dk1">
                      <a:lumMod val="75000"/>
                      <a:lumOff val="25000"/>
                    </a:schemeClr>
                  </a:solidFill>
                  <a:latin typeface="+mn-lt"/>
                  <a:ea typeface="+mn-ea"/>
                  <a:cs typeface="+mn-cs"/>
                </a:defRPr>
              </a:pPr>
              <a:endParaRPr lang="fr-FR"/>
            </a:p>
          </c:txPr>
          <c:showLegendKey val="0"/>
          <c:showVal val="0"/>
          <c:showCatName val="0"/>
          <c:showSerName val="0"/>
          <c:showPercent val="0"/>
          <c:showBubbleSize val="0"/>
          <c:extLst>
            <c:ext xmlns:c15="http://schemas.microsoft.com/office/drawing/2012/chart" uri="{CE6537A1-D6FC-4f65-9D91-7224C49458BB}"/>
          </c:extLst>
        </c:dLbl>
      </c:pivotFmt>
      <c:pivotFmt>
        <c:idx val="19"/>
        <c:spPr>
          <a:noFill/>
          <a:ln>
            <a:noFill/>
          </a:ln>
          <a:effectLst>
            <a:innerShdw blurRad="114300">
              <a:srgbClr val="C00000"/>
            </a:innerShdw>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dk1">
                      <a:lumMod val="75000"/>
                      <a:lumOff val="25000"/>
                    </a:schemeClr>
                  </a:solidFill>
                  <a:latin typeface="+mn-lt"/>
                  <a:ea typeface="+mn-ea"/>
                  <a:cs typeface="+mn-cs"/>
                </a:defRPr>
              </a:pPr>
              <a:endParaRPr lang="fr-FR"/>
            </a:p>
          </c:txPr>
          <c:showLegendKey val="0"/>
          <c:showVal val="0"/>
          <c:showCatName val="0"/>
          <c:showSerName val="0"/>
          <c:showPercent val="0"/>
          <c:showBubbleSize val="0"/>
          <c:extLst>
            <c:ext xmlns:c15="http://schemas.microsoft.com/office/drawing/2012/chart" uri="{CE6537A1-D6FC-4f65-9D91-7224C49458BB}"/>
          </c:extLst>
        </c:dLbl>
      </c:pivotFmt>
      <c:pivotFmt>
        <c:idx val="20"/>
        <c:spPr>
          <a:no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dk1">
                      <a:lumMod val="75000"/>
                      <a:lumOff val="25000"/>
                    </a:schemeClr>
                  </a:solidFill>
                  <a:latin typeface="+mn-lt"/>
                  <a:ea typeface="+mn-ea"/>
                  <a:cs typeface="+mn-cs"/>
                </a:defRPr>
              </a:pPr>
              <a:endParaRPr lang="fr-FR"/>
            </a:p>
          </c:txPr>
          <c:showLegendKey val="0"/>
          <c:showVal val="0"/>
          <c:showCatName val="0"/>
          <c:showSerName val="0"/>
          <c:showPercent val="0"/>
          <c:showBubbleSize val="0"/>
          <c:extLst>
            <c:ext xmlns:c15="http://schemas.microsoft.com/office/drawing/2012/chart" uri="{CE6537A1-D6FC-4f65-9D91-7224C49458BB}"/>
          </c:extLst>
        </c:dLbl>
      </c:pivotFmt>
      <c:pivotFmt>
        <c:idx val="21"/>
        <c:spPr>
          <a:no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dk1">
                      <a:lumMod val="75000"/>
                      <a:lumOff val="25000"/>
                    </a:schemeClr>
                  </a:solidFill>
                  <a:latin typeface="+mn-lt"/>
                  <a:ea typeface="+mn-ea"/>
                  <a:cs typeface="+mn-cs"/>
                </a:defRPr>
              </a:pPr>
              <a:endParaRPr lang="fr-FR"/>
            </a:p>
          </c:txPr>
          <c:showLegendKey val="0"/>
          <c:showVal val="0"/>
          <c:showCatName val="0"/>
          <c:showSerName val="0"/>
          <c:showPercent val="0"/>
          <c:showBubbleSize val="0"/>
          <c:extLst>
            <c:ext xmlns:c15="http://schemas.microsoft.com/office/drawing/2012/chart" uri="{CE6537A1-D6FC-4f65-9D91-7224C49458BB}"/>
          </c:extLst>
        </c:dLbl>
      </c:pivotFmt>
      <c:pivotFmt>
        <c:idx val="22"/>
        <c:spPr>
          <a:no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dk1">
                      <a:lumMod val="75000"/>
                      <a:lumOff val="25000"/>
                    </a:schemeClr>
                  </a:solidFill>
                  <a:latin typeface="+mn-lt"/>
                  <a:ea typeface="+mn-ea"/>
                  <a:cs typeface="+mn-cs"/>
                </a:defRPr>
              </a:pPr>
              <a:endParaRPr lang="fr-FR"/>
            </a:p>
          </c:txPr>
          <c:showLegendKey val="0"/>
          <c:showVal val="0"/>
          <c:showCatName val="0"/>
          <c:showSerName val="0"/>
          <c:showPercent val="0"/>
          <c:showBubbleSize val="0"/>
          <c:extLst>
            <c:ext xmlns:c15="http://schemas.microsoft.com/office/drawing/2012/chart" uri="{CE6537A1-D6FC-4f65-9D91-7224C49458BB}"/>
          </c:extLst>
        </c:dLbl>
      </c:pivotFmt>
      <c:pivotFmt>
        <c:idx val="23"/>
        <c:spPr>
          <a:no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dk1">
                      <a:lumMod val="75000"/>
                      <a:lumOff val="25000"/>
                    </a:schemeClr>
                  </a:solidFill>
                  <a:latin typeface="+mn-lt"/>
                  <a:ea typeface="+mn-ea"/>
                  <a:cs typeface="+mn-cs"/>
                </a:defRPr>
              </a:pPr>
              <a:endParaRPr lang="fr-FR"/>
            </a:p>
          </c:txPr>
          <c:showLegendKey val="0"/>
          <c:showVal val="0"/>
          <c:showCatName val="0"/>
          <c:showSerName val="0"/>
          <c:showPercent val="0"/>
          <c:showBubbleSize val="0"/>
          <c:extLst>
            <c:ext xmlns:c15="http://schemas.microsoft.com/office/drawing/2012/chart" uri="{CE6537A1-D6FC-4f65-9D91-7224C49458BB}"/>
          </c:extLst>
        </c:dLbl>
      </c:pivotFmt>
      <c:pivotFmt>
        <c:idx val="24"/>
        <c:spPr>
          <a:no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dk1">
                      <a:lumMod val="75000"/>
                      <a:lumOff val="25000"/>
                    </a:schemeClr>
                  </a:solidFill>
                  <a:latin typeface="+mn-lt"/>
                  <a:ea typeface="+mn-ea"/>
                  <a:cs typeface="+mn-cs"/>
                </a:defRPr>
              </a:pPr>
              <a:endParaRPr lang="fr-FR"/>
            </a:p>
          </c:txPr>
          <c:showLegendKey val="0"/>
          <c:showVal val="0"/>
          <c:showCatName val="0"/>
          <c:showSerName val="0"/>
          <c:showPercent val="0"/>
          <c:showBubbleSize val="0"/>
          <c:extLst>
            <c:ext xmlns:c15="http://schemas.microsoft.com/office/drawing/2012/chart" uri="{CE6537A1-D6FC-4f65-9D91-7224C49458BB}"/>
          </c:extLst>
        </c:dLbl>
      </c:pivotFmt>
      <c:pivotFmt>
        <c:idx val="25"/>
        <c:spPr>
          <a:no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dk1">
                      <a:lumMod val="75000"/>
                      <a:lumOff val="25000"/>
                    </a:schemeClr>
                  </a:solidFill>
                  <a:latin typeface="+mn-lt"/>
                  <a:ea typeface="+mn-ea"/>
                  <a:cs typeface="+mn-cs"/>
                </a:defRPr>
              </a:pPr>
              <a:endParaRPr lang="fr-FR"/>
            </a:p>
          </c:txPr>
          <c:showLegendKey val="0"/>
          <c:showVal val="0"/>
          <c:showCatName val="0"/>
          <c:showSerName val="0"/>
          <c:showPercent val="0"/>
          <c:showBubbleSize val="0"/>
          <c:extLst>
            <c:ext xmlns:c15="http://schemas.microsoft.com/office/drawing/2012/chart" uri="{CE6537A1-D6FC-4f65-9D91-7224C49458BB}"/>
          </c:extLst>
        </c:dLbl>
      </c:pivotFmt>
      <c:pivotFmt>
        <c:idx val="26"/>
        <c:spPr>
          <a:no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dk1">
                      <a:lumMod val="75000"/>
                      <a:lumOff val="25000"/>
                    </a:schemeClr>
                  </a:solidFill>
                  <a:latin typeface="+mn-lt"/>
                  <a:ea typeface="+mn-ea"/>
                  <a:cs typeface="+mn-cs"/>
                </a:defRPr>
              </a:pPr>
              <a:endParaRPr lang="fr-FR"/>
            </a:p>
          </c:txPr>
          <c:showLegendKey val="0"/>
          <c:showVal val="0"/>
          <c:showCatName val="0"/>
          <c:showSerName val="0"/>
          <c:showPercent val="0"/>
          <c:showBubbleSize val="0"/>
          <c:extLst>
            <c:ext xmlns:c15="http://schemas.microsoft.com/office/drawing/2012/chart" uri="{CE6537A1-D6FC-4f65-9D91-7224C49458BB}"/>
          </c:extLst>
        </c:dLbl>
      </c:pivotFmt>
      <c:pivotFmt>
        <c:idx val="27"/>
        <c:spPr>
          <a:no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dk1">
                      <a:lumMod val="75000"/>
                      <a:lumOff val="25000"/>
                    </a:schemeClr>
                  </a:solidFill>
                  <a:latin typeface="+mn-lt"/>
                  <a:ea typeface="+mn-ea"/>
                  <a:cs typeface="+mn-cs"/>
                </a:defRPr>
              </a:pPr>
              <a:endParaRPr lang="fr-FR"/>
            </a:p>
          </c:txPr>
          <c:showLegendKey val="0"/>
          <c:showVal val="0"/>
          <c:showCatName val="0"/>
          <c:showSerName val="0"/>
          <c:showPercent val="0"/>
          <c:showBubbleSize val="0"/>
          <c:extLst>
            <c:ext xmlns:c15="http://schemas.microsoft.com/office/drawing/2012/chart" uri="{CE6537A1-D6FC-4f65-9D91-7224C49458BB}"/>
          </c:extLst>
        </c:dLbl>
      </c:pivotFmt>
    </c:pivotFmts>
    <c:plotArea>
      <c:layout>
        <c:manualLayout>
          <c:layoutTarget val="inner"/>
          <c:xMode val="edge"/>
          <c:yMode val="edge"/>
          <c:x val="7.3111666666666672E-2"/>
          <c:y val="0.1252361111111111"/>
          <c:w val="0.80953027777777775"/>
          <c:h val="0.78035294117647069"/>
        </c:manualLayout>
      </c:layout>
      <c:barChart>
        <c:barDir val="col"/>
        <c:grouping val="clustered"/>
        <c:varyColors val="0"/>
        <c:ser>
          <c:idx val="10"/>
          <c:order val="10"/>
          <c:tx>
            <c:strRef>
              <c:f>'Calculs jour'!$L$14</c:f>
              <c:strCache>
                <c:ptCount val="1"/>
                <c:pt idx="0">
                  <c:v>Somme de Points Gagnant</c:v>
                </c:pt>
              </c:strCache>
            </c:strRef>
          </c:tx>
          <c:spPr>
            <a:pattFill prst="ltUpDiag">
              <a:fgClr>
                <a:srgbClr val="0070C0"/>
              </a:fgClr>
              <a:bgClr>
                <a:sysClr val="window" lastClr="FFFFFF"/>
              </a:bgClr>
            </a:pattFill>
            <a:ln>
              <a:noFill/>
            </a:ln>
            <a:effectLst>
              <a:innerShdw blurRad="114300">
                <a:srgbClr val="0070C0"/>
              </a:innerShdw>
            </a:effectLst>
          </c:spPr>
          <c:invertIfNegative val="0"/>
          <c:dLbls>
            <c:numFmt formatCode="0.0\ &quot;Pts&quot;;\-\ 0.0\ &quot;Pts&quot;;&quot;&quot;" sourceLinked="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dk1">
                        <a:lumMod val="75000"/>
                        <a:lumOff val="25000"/>
                      </a:schemeClr>
                    </a:solidFill>
                    <a:latin typeface="+mn-lt"/>
                    <a:ea typeface="+mn-ea"/>
                    <a:cs typeface="+mn-cs"/>
                  </a:defRPr>
                </a:pPr>
                <a:endParaRPr lang="fr-FR"/>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dk1">
                          <a:lumMod val="35000"/>
                          <a:lumOff val="65000"/>
                        </a:schemeClr>
                      </a:solidFill>
                      <a:round/>
                    </a:ln>
                    <a:effectLst/>
                  </c:spPr>
                </c15:leaderLines>
              </c:ext>
            </c:extLst>
          </c:dLbls>
          <c:cat>
            <c:strRef>
              <c:f>'Calculs jour'!$A$15:$A$16</c:f>
              <c:strCache>
                <c:ptCount val="1"/>
                <c:pt idx="0">
                  <c:v>21/02/2020 08:34</c:v>
                </c:pt>
              </c:strCache>
            </c:strRef>
          </c:cat>
          <c:val>
            <c:numRef>
              <c:f>'Calculs jour'!$L$15:$L$16</c:f>
              <c:numCache>
                <c:formatCode>General</c:formatCode>
                <c:ptCount val="1"/>
                <c:pt idx="0">
                  <c:v>1</c:v>
                </c:pt>
              </c:numCache>
            </c:numRef>
          </c:val>
          <c:extLst>
            <c:ext xmlns:c16="http://schemas.microsoft.com/office/drawing/2014/chart" uri="{C3380CC4-5D6E-409C-BE32-E72D297353CC}">
              <c16:uniqueId val="{0000000A-EB02-4E2B-A57F-4E9ED7E41B57}"/>
            </c:ext>
          </c:extLst>
        </c:ser>
        <c:ser>
          <c:idx val="11"/>
          <c:order val="11"/>
          <c:tx>
            <c:strRef>
              <c:f>'Calculs jour'!$M$14</c:f>
              <c:strCache>
                <c:ptCount val="1"/>
                <c:pt idx="0">
                  <c:v>Somme de Points perdants</c:v>
                </c:pt>
              </c:strCache>
            </c:strRef>
          </c:tx>
          <c:spPr>
            <a:pattFill prst="ltUpDiag">
              <a:fgClr>
                <a:srgbClr val="C00000"/>
              </a:fgClr>
              <a:bgClr>
                <a:sysClr val="window" lastClr="FFFFFF"/>
              </a:bgClr>
            </a:pattFill>
            <a:ln>
              <a:noFill/>
            </a:ln>
            <a:effectLst>
              <a:innerShdw blurRad="114300">
                <a:srgbClr val="C00000"/>
              </a:innerShdw>
            </a:effectLst>
          </c:spPr>
          <c:invertIfNegative val="0"/>
          <c:dLbls>
            <c:numFmt formatCode="0.0\ &quot;Pts&quot;;\-\ 0.0\ &quot;Pts&quot;;&quot;&quot;" sourceLinked="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dk1">
                        <a:lumMod val="75000"/>
                        <a:lumOff val="25000"/>
                      </a:schemeClr>
                    </a:solidFill>
                    <a:latin typeface="+mn-lt"/>
                    <a:ea typeface="+mn-ea"/>
                    <a:cs typeface="+mn-cs"/>
                  </a:defRPr>
                </a:pPr>
                <a:endParaRPr lang="fr-FR"/>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dk1">
                          <a:lumMod val="35000"/>
                          <a:lumOff val="65000"/>
                        </a:schemeClr>
                      </a:solidFill>
                      <a:round/>
                    </a:ln>
                    <a:effectLst/>
                  </c:spPr>
                </c15:leaderLines>
              </c:ext>
            </c:extLst>
          </c:dLbls>
          <c:cat>
            <c:strRef>
              <c:f>'Calculs jour'!$A$15:$A$16</c:f>
              <c:strCache>
                <c:ptCount val="1"/>
                <c:pt idx="0">
                  <c:v>21/02/2020 08:34</c:v>
                </c:pt>
              </c:strCache>
            </c:strRef>
          </c:cat>
          <c:val>
            <c:numRef>
              <c:f>'Calculs jour'!$M$15:$M$16</c:f>
              <c:numCache>
                <c:formatCode>General</c:formatCode>
                <c:ptCount val="1"/>
                <c:pt idx="0">
                  <c:v>0</c:v>
                </c:pt>
              </c:numCache>
            </c:numRef>
          </c:val>
          <c:extLst>
            <c:ext xmlns:c16="http://schemas.microsoft.com/office/drawing/2014/chart" uri="{C3380CC4-5D6E-409C-BE32-E72D297353CC}">
              <c16:uniqueId val="{0000000B-EB02-4E2B-A57F-4E9ED7E41B57}"/>
            </c:ext>
          </c:extLst>
        </c:ser>
        <c:ser>
          <c:idx val="0"/>
          <c:order val="0"/>
          <c:tx>
            <c:strRef>
              <c:f>'Calculs jour'!$B$14</c:f>
              <c:strCache>
                <c:ptCount val="1"/>
                <c:pt idx="0">
                  <c:v>Somme de Points</c:v>
                </c:pt>
              </c:strCache>
            </c:strRef>
          </c:tx>
          <c:spPr>
            <a:noFill/>
            <a:ln>
              <a:noFill/>
            </a:ln>
            <a:effectLst>
              <a:innerShdw blurRad="114300">
                <a:srgbClr val="0070C0"/>
              </a:innerShdw>
            </a:effectLst>
          </c:spPr>
          <c:invertIfNegative val="0"/>
          <c:cat>
            <c:strRef>
              <c:f>'Calculs jour'!$A$15:$A$16</c:f>
              <c:strCache>
                <c:ptCount val="1"/>
                <c:pt idx="0">
                  <c:v>21/02/2020 08:34</c:v>
                </c:pt>
              </c:strCache>
            </c:strRef>
          </c:cat>
          <c:val>
            <c:numRef>
              <c:f>'Calculs jour'!$B$15:$B$16</c:f>
              <c:numCache>
                <c:formatCode>General</c:formatCode>
                <c:ptCount val="1"/>
                <c:pt idx="0">
                  <c:v>1</c:v>
                </c:pt>
              </c:numCache>
            </c:numRef>
          </c:val>
          <c:extLst>
            <c:ext xmlns:c16="http://schemas.microsoft.com/office/drawing/2014/chart" uri="{C3380CC4-5D6E-409C-BE32-E72D297353CC}">
              <c16:uniqueId val="{00000000-A1F5-4769-BC76-60B31F8CD37B}"/>
            </c:ext>
          </c:extLst>
        </c:ser>
        <c:ser>
          <c:idx val="1"/>
          <c:order val="1"/>
          <c:tx>
            <c:strRef>
              <c:f>'Calculs jour'!$C$14</c:f>
              <c:strCache>
                <c:ptCount val="1"/>
                <c:pt idx="0">
                  <c:v>Points cumulés</c:v>
                </c:pt>
              </c:strCache>
            </c:strRef>
          </c:tx>
          <c:spPr>
            <a:noFill/>
            <a:ln>
              <a:noFill/>
            </a:ln>
            <a:effectLst>
              <a:innerShdw blurRad="114300">
                <a:srgbClr val="C00000"/>
              </a:innerShdw>
            </a:effectLst>
          </c:spPr>
          <c:invertIfNegative val="0"/>
          <c:cat>
            <c:strRef>
              <c:f>'Calculs jour'!$A$15:$A$16</c:f>
              <c:strCache>
                <c:ptCount val="1"/>
                <c:pt idx="0">
                  <c:v>21/02/2020 08:34</c:v>
                </c:pt>
              </c:strCache>
            </c:strRef>
          </c:cat>
          <c:val>
            <c:numRef>
              <c:f>'Calculs jour'!$C$15:$C$16</c:f>
              <c:numCache>
                <c:formatCode>General</c:formatCode>
                <c:ptCount val="1"/>
                <c:pt idx="0">
                  <c:v>1</c:v>
                </c:pt>
              </c:numCache>
            </c:numRef>
          </c:val>
          <c:extLst>
            <c:ext xmlns:c16="http://schemas.microsoft.com/office/drawing/2014/chart" uri="{C3380CC4-5D6E-409C-BE32-E72D297353CC}">
              <c16:uniqueId val="{00000001-A1F5-4769-BC76-60B31F8CD37B}"/>
            </c:ext>
          </c:extLst>
        </c:ser>
        <c:ser>
          <c:idx val="2"/>
          <c:order val="2"/>
          <c:tx>
            <c:strRef>
              <c:f>'Calculs jour'!$D$14</c:f>
              <c:strCache>
                <c:ptCount val="1"/>
                <c:pt idx="0">
                  <c:v>Variationjour+ Table</c:v>
                </c:pt>
              </c:strCache>
            </c:strRef>
          </c:tx>
          <c:spPr>
            <a:noFill/>
            <a:ln>
              <a:noFill/>
            </a:ln>
            <a:effectLst>
              <a:innerShdw blurRad="114300">
                <a:srgbClr val="4F81BD"/>
              </a:innerShdw>
            </a:effectLst>
          </c:spPr>
          <c:invertIfNegative val="0"/>
          <c:cat>
            <c:strRef>
              <c:f>'Calculs jour'!$A$15:$A$16</c:f>
              <c:strCache>
                <c:ptCount val="1"/>
                <c:pt idx="0">
                  <c:v>21/02/2020 08:34</c:v>
                </c:pt>
              </c:strCache>
            </c:strRef>
          </c:cat>
          <c:val>
            <c:numRef>
              <c:f>'Calculs jour'!$D$15:$D$16</c:f>
              <c:numCache>
                <c:formatCode>0.00%</c:formatCode>
                <c:ptCount val="1"/>
                <c:pt idx="0">
                  <c:v>5.0273581817325671E-4</c:v>
                </c:pt>
              </c:numCache>
            </c:numRef>
          </c:val>
          <c:extLst>
            <c:ext xmlns:c16="http://schemas.microsoft.com/office/drawing/2014/chart" uri="{C3380CC4-5D6E-409C-BE32-E72D297353CC}">
              <c16:uniqueId val="{00000002-EB02-4E2B-A57F-4E9ED7E41B57}"/>
            </c:ext>
          </c:extLst>
        </c:ser>
        <c:ser>
          <c:idx val="3"/>
          <c:order val="3"/>
          <c:tx>
            <c:strRef>
              <c:f>'Calculs jour'!$E$14</c:f>
              <c:strCache>
                <c:ptCount val="1"/>
                <c:pt idx="0">
                  <c:v>Variationjour- Table</c:v>
                </c:pt>
              </c:strCache>
            </c:strRef>
          </c:tx>
          <c:spPr>
            <a:noFill/>
            <a:ln>
              <a:noFill/>
            </a:ln>
            <a:effectLst>
              <a:innerShdw blurRad="114300">
                <a:srgbClr val="C00000"/>
              </a:innerShdw>
            </a:effectLst>
          </c:spPr>
          <c:invertIfNegative val="0"/>
          <c:cat>
            <c:strRef>
              <c:f>'Calculs jour'!$A$15:$A$16</c:f>
              <c:strCache>
                <c:ptCount val="1"/>
                <c:pt idx="0">
                  <c:v>21/02/2020 08:34</c:v>
                </c:pt>
              </c:strCache>
            </c:strRef>
          </c:cat>
          <c:val>
            <c:numRef>
              <c:f>'Calculs jour'!$E$15:$E$16</c:f>
              <c:numCache>
                <c:formatCode>0.00%</c:formatCode>
                <c:ptCount val="1"/>
                <c:pt idx="0">
                  <c:v>0</c:v>
                </c:pt>
              </c:numCache>
            </c:numRef>
          </c:val>
          <c:extLst>
            <c:ext xmlns:c16="http://schemas.microsoft.com/office/drawing/2014/chart" uri="{C3380CC4-5D6E-409C-BE32-E72D297353CC}">
              <c16:uniqueId val="{00000003-EB02-4E2B-A57F-4E9ED7E41B57}"/>
            </c:ext>
          </c:extLst>
        </c:ser>
        <c:ser>
          <c:idx val="4"/>
          <c:order val="4"/>
          <c:tx>
            <c:strRef>
              <c:f>'Calculs jour'!$F$14</c:f>
              <c:strCache>
                <c:ptCount val="1"/>
                <c:pt idx="0">
                  <c:v>Min. de Drawdown</c:v>
                </c:pt>
              </c:strCache>
            </c:strRef>
          </c:tx>
          <c:spPr>
            <a:noFill/>
            <a:ln>
              <a:noFill/>
            </a:ln>
            <a:effectLst/>
          </c:spPr>
          <c:invertIfNegative val="0"/>
          <c:cat>
            <c:strRef>
              <c:f>'Calculs jour'!$A$15:$A$16</c:f>
              <c:strCache>
                <c:ptCount val="1"/>
                <c:pt idx="0">
                  <c:v>21/02/2020 08:34</c:v>
                </c:pt>
              </c:strCache>
            </c:strRef>
          </c:cat>
          <c:val>
            <c:numRef>
              <c:f>'Calculs jour'!$F$15:$F$16</c:f>
              <c:numCache>
                <c:formatCode>0.00%</c:formatCode>
                <c:ptCount val="1"/>
                <c:pt idx="0">
                  <c:v>0</c:v>
                </c:pt>
              </c:numCache>
            </c:numRef>
          </c:val>
          <c:extLst>
            <c:ext xmlns:c16="http://schemas.microsoft.com/office/drawing/2014/chart" uri="{C3380CC4-5D6E-409C-BE32-E72D297353CC}">
              <c16:uniqueId val="{00000004-EB02-4E2B-A57F-4E9ED7E41B57}"/>
            </c:ext>
          </c:extLst>
        </c:ser>
        <c:ser>
          <c:idx val="7"/>
          <c:order val="7"/>
          <c:tx>
            <c:strRef>
              <c:f>'Calculs jour'!$I$14</c:f>
              <c:strCache>
                <c:ptCount val="1"/>
                <c:pt idx="0">
                  <c:v>Somme de Gagnant</c:v>
                </c:pt>
              </c:strCache>
            </c:strRef>
          </c:tx>
          <c:spPr>
            <a:noFill/>
            <a:ln>
              <a:noFill/>
            </a:ln>
            <a:effectLst>
              <a:innerShdw blurRad="114300">
                <a:srgbClr val="0070C0"/>
              </a:innerShdw>
            </a:effectLst>
          </c:spPr>
          <c:invertIfNegative val="0"/>
          <c:cat>
            <c:strRef>
              <c:f>'Calculs jour'!$A$15:$A$16</c:f>
              <c:strCache>
                <c:ptCount val="1"/>
                <c:pt idx="0">
                  <c:v>21/02/2020 08:34</c:v>
                </c:pt>
              </c:strCache>
            </c:strRef>
          </c:cat>
          <c:val>
            <c:numRef>
              <c:f>'Calculs jour'!$I$15:$I$16</c:f>
              <c:numCache>
                <c:formatCode>General</c:formatCode>
                <c:ptCount val="1"/>
                <c:pt idx="0">
                  <c:v>1</c:v>
                </c:pt>
              </c:numCache>
            </c:numRef>
          </c:val>
          <c:extLst>
            <c:ext xmlns:c16="http://schemas.microsoft.com/office/drawing/2014/chart" uri="{C3380CC4-5D6E-409C-BE32-E72D297353CC}">
              <c16:uniqueId val="{00000007-EB02-4E2B-A57F-4E9ED7E41B57}"/>
            </c:ext>
          </c:extLst>
        </c:ser>
        <c:ser>
          <c:idx val="8"/>
          <c:order val="8"/>
          <c:tx>
            <c:strRef>
              <c:f>'Calculs jour'!$J$14</c:f>
              <c:strCache>
                <c:ptCount val="1"/>
                <c:pt idx="0">
                  <c:v>Somme de Perdant</c:v>
                </c:pt>
              </c:strCache>
            </c:strRef>
          </c:tx>
          <c:spPr>
            <a:noFill/>
            <a:ln>
              <a:noFill/>
            </a:ln>
            <a:effectLst>
              <a:innerShdw blurRad="114300">
                <a:srgbClr val="C00000"/>
              </a:innerShdw>
            </a:effectLst>
          </c:spPr>
          <c:invertIfNegative val="0"/>
          <c:cat>
            <c:strRef>
              <c:f>'Calculs jour'!$A$15:$A$16</c:f>
              <c:strCache>
                <c:ptCount val="1"/>
                <c:pt idx="0">
                  <c:v>21/02/2020 08:34</c:v>
                </c:pt>
              </c:strCache>
            </c:strRef>
          </c:cat>
          <c:val>
            <c:numRef>
              <c:f>'Calculs jour'!$J$15:$J$16</c:f>
              <c:numCache>
                <c:formatCode>General</c:formatCode>
                <c:ptCount val="1"/>
                <c:pt idx="0">
                  <c:v>0</c:v>
                </c:pt>
              </c:numCache>
            </c:numRef>
          </c:val>
          <c:extLst>
            <c:ext xmlns:c16="http://schemas.microsoft.com/office/drawing/2014/chart" uri="{C3380CC4-5D6E-409C-BE32-E72D297353CC}">
              <c16:uniqueId val="{00000008-EB02-4E2B-A57F-4E9ED7E41B57}"/>
            </c:ext>
          </c:extLst>
        </c:ser>
        <c:ser>
          <c:idx val="9"/>
          <c:order val="9"/>
          <c:tx>
            <c:strRef>
              <c:f>'Calculs jour'!$K$14</c:f>
              <c:strCache>
                <c:ptCount val="1"/>
                <c:pt idx="0">
                  <c:v>Nombre de Résultat</c:v>
                </c:pt>
              </c:strCache>
            </c:strRef>
          </c:tx>
          <c:spPr>
            <a:noFill/>
            <a:ln>
              <a:noFill/>
            </a:ln>
            <a:effectLst>
              <a:innerShdw blurRad="114300">
                <a:srgbClr val="C00000"/>
              </a:innerShdw>
            </a:effectLst>
          </c:spPr>
          <c:invertIfNegative val="0"/>
          <c:cat>
            <c:strRef>
              <c:f>'Calculs jour'!$A$15:$A$16</c:f>
              <c:strCache>
                <c:ptCount val="1"/>
                <c:pt idx="0">
                  <c:v>21/02/2020 08:34</c:v>
                </c:pt>
              </c:strCache>
            </c:strRef>
          </c:cat>
          <c:val>
            <c:numRef>
              <c:f>'Calculs jour'!$K$15:$K$16</c:f>
              <c:numCache>
                <c:formatCode>General</c:formatCode>
                <c:ptCount val="1"/>
                <c:pt idx="0">
                  <c:v>1</c:v>
                </c:pt>
              </c:numCache>
            </c:numRef>
          </c:val>
          <c:extLst>
            <c:ext xmlns:c16="http://schemas.microsoft.com/office/drawing/2014/chart" uri="{C3380CC4-5D6E-409C-BE32-E72D297353CC}">
              <c16:uniqueId val="{00000009-EB02-4E2B-A57F-4E9ED7E41B57}"/>
            </c:ext>
          </c:extLst>
        </c:ser>
        <c:ser>
          <c:idx val="12"/>
          <c:order val="12"/>
          <c:tx>
            <c:strRef>
              <c:f>'Calculs jour'!$N$14</c:f>
              <c:strCache>
                <c:ptCount val="1"/>
                <c:pt idx="0">
                  <c:v>Moyenne de Points Gagnant</c:v>
                </c:pt>
              </c:strCache>
            </c:strRef>
          </c:tx>
          <c:spPr>
            <a:noFill/>
            <a:ln>
              <a:noFill/>
            </a:ln>
            <a:effectLst>
              <a:innerShdw blurRad="114300">
                <a:srgbClr val="0070C0"/>
              </a:innerShdw>
            </a:effectLst>
          </c:spPr>
          <c:invertIfNegative val="0"/>
          <c:cat>
            <c:strRef>
              <c:f>'Calculs jour'!$A$15:$A$16</c:f>
              <c:strCache>
                <c:ptCount val="1"/>
                <c:pt idx="0">
                  <c:v>21/02/2020 08:34</c:v>
                </c:pt>
              </c:strCache>
            </c:strRef>
          </c:cat>
          <c:val>
            <c:numRef>
              <c:f>'Calculs jour'!$N$15:$N$16</c:f>
              <c:numCache>
                <c:formatCode>General</c:formatCode>
                <c:ptCount val="1"/>
                <c:pt idx="0">
                  <c:v>1</c:v>
                </c:pt>
              </c:numCache>
            </c:numRef>
          </c:val>
          <c:extLst>
            <c:ext xmlns:c16="http://schemas.microsoft.com/office/drawing/2014/chart" uri="{C3380CC4-5D6E-409C-BE32-E72D297353CC}">
              <c16:uniqueId val="{0000000C-EB02-4E2B-A57F-4E9ED7E41B57}"/>
            </c:ext>
          </c:extLst>
        </c:ser>
        <c:ser>
          <c:idx val="13"/>
          <c:order val="13"/>
          <c:tx>
            <c:strRef>
              <c:f>'Calculs jour'!$O$14</c:f>
              <c:strCache>
                <c:ptCount val="1"/>
                <c:pt idx="0">
                  <c:v>Moyenne de Points perdants</c:v>
                </c:pt>
              </c:strCache>
            </c:strRef>
          </c:tx>
          <c:spPr>
            <a:noFill/>
            <a:ln>
              <a:noFill/>
            </a:ln>
            <a:effectLst>
              <a:innerShdw blurRad="114300">
                <a:srgbClr val="C00000"/>
              </a:innerShdw>
            </a:effectLst>
          </c:spPr>
          <c:invertIfNegative val="0"/>
          <c:cat>
            <c:strRef>
              <c:f>'Calculs jour'!$A$15:$A$16</c:f>
              <c:strCache>
                <c:ptCount val="1"/>
                <c:pt idx="0">
                  <c:v>21/02/2020 08:34</c:v>
                </c:pt>
              </c:strCache>
            </c:strRef>
          </c:cat>
          <c:val>
            <c:numRef>
              <c:f>'Calculs jour'!$O$15:$O$16</c:f>
              <c:numCache>
                <c:formatCode>General</c:formatCode>
                <c:ptCount val="1"/>
                <c:pt idx="0">
                  <c:v>#N/A</c:v>
                </c:pt>
              </c:numCache>
            </c:numRef>
          </c:val>
          <c:extLst>
            <c:ext xmlns:c16="http://schemas.microsoft.com/office/drawing/2014/chart" uri="{C3380CC4-5D6E-409C-BE32-E72D297353CC}">
              <c16:uniqueId val="{0000000D-EB02-4E2B-A57F-4E9ED7E41B57}"/>
            </c:ext>
          </c:extLst>
        </c:ser>
        <c:ser>
          <c:idx val="14"/>
          <c:order val="14"/>
          <c:tx>
            <c:strRef>
              <c:f>'Calculs jour'!$P$14</c:f>
              <c:strCache>
                <c:ptCount val="1"/>
                <c:pt idx="0">
                  <c:v>Min. de Points Gagnant</c:v>
                </c:pt>
              </c:strCache>
            </c:strRef>
          </c:tx>
          <c:spPr>
            <a:noFill/>
            <a:ln>
              <a:noFill/>
            </a:ln>
            <a:effectLst/>
          </c:spPr>
          <c:invertIfNegative val="0"/>
          <c:cat>
            <c:strRef>
              <c:f>'Calculs jour'!$A$15:$A$16</c:f>
              <c:strCache>
                <c:ptCount val="1"/>
                <c:pt idx="0">
                  <c:v>21/02/2020 08:34</c:v>
                </c:pt>
              </c:strCache>
            </c:strRef>
          </c:cat>
          <c:val>
            <c:numRef>
              <c:f>'Calculs jour'!$P$15:$P$16</c:f>
              <c:numCache>
                <c:formatCode>General</c:formatCode>
                <c:ptCount val="1"/>
                <c:pt idx="0">
                  <c:v>1</c:v>
                </c:pt>
              </c:numCache>
            </c:numRef>
          </c:val>
          <c:extLst>
            <c:ext xmlns:c16="http://schemas.microsoft.com/office/drawing/2014/chart" uri="{C3380CC4-5D6E-409C-BE32-E72D297353CC}">
              <c16:uniqueId val="{0000000E-EB02-4E2B-A57F-4E9ED7E41B57}"/>
            </c:ext>
          </c:extLst>
        </c:ser>
        <c:ser>
          <c:idx val="15"/>
          <c:order val="15"/>
          <c:tx>
            <c:strRef>
              <c:f>'Calculs jour'!$Q$14</c:f>
              <c:strCache>
                <c:ptCount val="1"/>
                <c:pt idx="0">
                  <c:v>Min. de Points perdants</c:v>
                </c:pt>
              </c:strCache>
            </c:strRef>
          </c:tx>
          <c:spPr>
            <a:noFill/>
            <a:ln>
              <a:noFill/>
            </a:ln>
            <a:effectLst/>
          </c:spPr>
          <c:invertIfNegative val="0"/>
          <c:cat>
            <c:strRef>
              <c:f>'Calculs jour'!$A$15:$A$16</c:f>
              <c:strCache>
                <c:ptCount val="1"/>
                <c:pt idx="0">
                  <c:v>21/02/2020 08:34</c:v>
                </c:pt>
              </c:strCache>
            </c:strRef>
          </c:cat>
          <c:val>
            <c:numRef>
              <c:f>'Calculs jour'!$Q$15:$Q$16</c:f>
              <c:numCache>
                <c:formatCode>General</c:formatCode>
                <c:ptCount val="1"/>
                <c:pt idx="0">
                  <c:v>0</c:v>
                </c:pt>
              </c:numCache>
            </c:numRef>
          </c:val>
          <c:extLst>
            <c:ext xmlns:c16="http://schemas.microsoft.com/office/drawing/2014/chart" uri="{C3380CC4-5D6E-409C-BE32-E72D297353CC}">
              <c16:uniqueId val="{0000000F-EB02-4E2B-A57F-4E9ED7E41B57}"/>
            </c:ext>
          </c:extLst>
        </c:ser>
        <c:ser>
          <c:idx val="16"/>
          <c:order val="16"/>
          <c:tx>
            <c:strRef>
              <c:f>'Calculs jour'!$R$14</c:f>
              <c:strCache>
                <c:ptCount val="1"/>
                <c:pt idx="0">
                  <c:v>Max. de Points Gagnant</c:v>
                </c:pt>
              </c:strCache>
            </c:strRef>
          </c:tx>
          <c:spPr>
            <a:noFill/>
            <a:ln>
              <a:noFill/>
            </a:ln>
            <a:effectLst/>
          </c:spPr>
          <c:invertIfNegative val="0"/>
          <c:cat>
            <c:strRef>
              <c:f>'Calculs jour'!$A$15:$A$16</c:f>
              <c:strCache>
                <c:ptCount val="1"/>
                <c:pt idx="0">
                  <c:v>21/02/2020 08:34</c:v>
                </c:pt>
              </c:strCache>
            </c:strRef>
          </c:cat>
          <c:val>
            <c:numRef>
              <c:f>'Calculs jour'!$R$15:$R$16</c:f>
              <c:numCache>
                <c:formatCode>General</c:formatCode>
                <c:ptCount val="1"/>
                <c:pt idx="0">
                  <c:v>1</c:v>
                </c:pt>
              </c:numCache>
            </c:numRef>
          </c:val>
          <c:extLst>
            <c:ext xmlns:c16="http://schemas.microsoft.com/office/drawing/2014/chart" uri="{C3380CC4-5D6E-409C-BE32-E72D297353CC}">
              <c16:uniqueId val="{00000010-EB02-4E2B-A57F-4E9ED7E41B57}"/>
            </c:ext>
          </c:extLst>
        </c:ser>
        <c:ser>
          <c:idx val="17"/>
          <c:order val="17"/>
          <c:tx>
            <c:strRef>
              <c:f>'Calculs jour'!$S$14</c:f>
              <c:strCache>
                <c:ptCount val="1"/>
                <c:pt idx="0">
                  <c:v>Max. de Points perdants</c:v>
                </c:pt>
              </c:strCache>
            </c:strRef>
          </c:tx>
          <c:spPr>
            <a:noFill/>
            <a:ln>
              <a:noFill/>
            </a:ln>
            <a:effectLst/>
          </c:spPr>
          <c:invertIfNegative val="0"/>
          <c:cat>
            <c:strRef>
              <c:f>'Calculs jour'!$A$15:$A$16</c:f>
              <c:strCache>
                <c:ptCount val="1"/>
                <c:pt idx="0">
                  <c:v>21/02/2020 08:34</c:v>
                </c:pt>
              </c:strCache>
            </c:strRef>
          </c:cat>
          <c:val>
            <c:numRef>
              <c:f>'Calculs jour'!$S$15:$S$16</c:f>
              <c:numCache>
                <c:formatCode>General</c:formatCode>
                <c:ptCount val="1"/>
                <c:pt idx="0">
                  <c:v>0</c:v>
                </c:pt>
              </c:numCache>
            </c:numRef>
          </c:val>
          <c:extLst>
            <c:ext xmlns:c16="http://schemas.microsoft.com/office/drawing/2014/chart" uri="{C3380CC4-5D6E-409C-BE32-E72D297353CC}">
              <c16:uniqueId val="{00000011-EB02-4E2B-A57F-4E9ED7E41B57}"/>
            </c:ext>
          </c:extLst>
        </c:ser>
        <c:ser>
          <c:idx val="18"/>
          <c:order val="18"/>
          <c:tx>
            <c:strRef>
              <c:f>'Calculs jour'!$T$14</c:f>
              <c:strCache>
                <c:ptCount val="1"/>
                <c:pt idx="0">
                  <c:v>Moyenne de Note du trade</c:v>
                </c:pt>
              </c:strCache>
            </c:strRef>
          </c:tx>
          <c:spPr>
            <a:noFill/>
            <a:ln>
              <a:noFill/>
            </a:ln>
            <a:effectLst/>
          </c:spPr>
          <c:invertIfNegative val="0"/>
          <c:cat>
            <c:strRef>
              <c:f>'Calculs jour'!$A$15:$A$16</c:f>
              <c:strCache>
                <c:ptCount val="1"/>
                <c:pt idx="0">
                  <c:v>21/02/2020 08:34</c:v>
                </c:pt>
              </c:strCache>
            </c:strRef>
          </c:cat>
          <c:val>
            <c:numRef>
              <c:f>'Calculs jour'!$T$15:$T$16</c:f>
              <c:numCache>
                <c:formatCode>General</c:formatCode>
                <c:ptCount val="1"/>
                <c:pt idx="0">
                  <c:v>7</c:v>
                </c:pt>
              </c:numCache>
            </c:numRef>
          </c:val>
          <c:extLst>
            <c:ext xmlns:c16="http://schemas.microsoft.com/office/drawing/2014/chart" uri="{C3380CC4-5D6E-409C-BE32-E72D297353CC}">
              <c16:uniqueId val="{00000012-EB02-4E2B-A57F-4E9ED7E41B57}"/>
            </c:ext>
          </c:extLst>
        </c:ser>
        <c:ser>
          <c:idx val="19"/>
          <c:order val="19"/>
          <c:tx>
            <c:strRef>
              <c:f>'Calculs jour'!$U$14</c:f>
              <c:strCache>
                <c:ptCount val="1"/>
                <c:pt idx="0">
                  <c:v>Somme de Levier</c:v>
                </c:pt>
              </c:strCache>
            </c:strRef>
          </c:tx>
          <c:spPr>
            <a:noFill/>
            <a:ln>
              <a:noFill/>
            </a:ln>
            <a:effectLst/>
          </c:spPr>
          <c:invertIfNegative val="0"/>
          <c:cat>
            <c:strRef>
              <c:f>'Calculs jour'!$A$15:$A$16</c:f>
              <c:strCache>
                <c:ptCount val="1"/>
                <c:pt idx="0">
                  <c:v>21/02/2020 08:34</c:v>
                </c:pt>
              </c:strCache>
            </c:strRef>
          </c:cat>
          <c:val>
            <c:numRef>
              <c:f>'Calculs jour'!$U$15:$U$16</c:f>
              <c:numCache>
                <c:formatCode>General</c:formatCode>
                <c:ptCount val="1"/>
                <c:pt idx="0">
                  <c:v>14.150954650860555</c:v>
                </c:pt>
              </c:numCache>
            </c:numRef>
          </c:val>
          <c:extLst>
            <c:ext xmlns:c16="http://schemas.microsoft.com/office/drawing/2014/chart" uri="{C3380CC4-5D6E-409C-BE32-E72D297353CC}">
              <c16:uniqueId val="{00000000-4450-4CC8-B9AB-B66267D6CF0C}"/>
            </c:ext>
          </c:extLst>
        </c:ser>
        <c:dLbls>
          <c:showLegendKey val="0"/>
          <c:showVal val="0"/>
          <c:showCatName val="0"/>
          <c:showSerName val="0"/>
          <c:showPercent val="0"/>
          <c:showBubbleSize val="0"/>
        </c:dLbls>
        <c:gapWidth val="265"/>
        <c:overlap val="100"/>
        <c:axId val="1917197200"/>
        <c:axId val="1910555952"/>
      </c:barChart>
      <c:barChart>
        <c:barDir val="col"/>
        <c:grouping val="clustered"/>
        <c:varyColors val="0"/>
        <c:ser>
          <c:idx val="5"/>
          <c:order val="5"/>
          <c:tx>
            <c:strRef>
              <c:f>'Calculs jour'!$G$14</c:f>
              <c:strCache>
                <c:ptCount val="1"/>
                <c:pt idx="0">
                  <c:v>Conforme </c:v>
                </c:pt>
              </c:strCache>
            </c:strRef>
          </c:tx>
          <c:spPr>
            <a:solidFill>
              <a:srgbClr val="0070C0">
                <a:alpha val="15000"/>
              </a:srgbClr>
            </a:solidFill>
            <a:ln>
              <a:noFill/>
            </a:ln>
            <a:effectLst/>
          </c:spPr>
          <c:invertIfNegative val="0"/>
          <c:cat>
            <c:strRef>
              <c:f>'Calculs jour'!$A$15:$A$16</c:f>
              <c:strCache>
                <c:ptCount val="1"/>
                <c:pt idx="0">
                  <c:v>21/02/2020 08:34</c:v>
                </c:pt>
              </c:strCache>
            </c:strRef>
          </c:cat>
          <c:val>
            <c:numRef>
              <c:f>'Calculs jour'!$G$15:$G$16</c:f>
              <c:numCache>
                <c:formatCode>General</c:formatCode>
                <c:ptCount val="1"/>
                <c:pt idx="0">
                  <c:v>1</c:v>
                </c:pt>
              </c:numCache>
            </c:numRef>
          </c:val>
          <c:extLst>
            <c:ext xmlns:c16="http://schemas.microsoft.com/office/drawing/2014/chart" uri="{C3380CC4-5D6E-409C-BE32-E72D297353CC}">
              <c16:uniqueId val="{00000005-EB02-4E2B-A57F-4E9ED7E41B57}"/>
            </c:ext>
          </c:extLst>
        </c:ser>
        <c:ser>
          <c:idx val="6"/>
          <c:order val="6"/>
          <c:tx>
            <c:strRef>
              <c:f>'Calculs jour'!$H$14</c:f>
              <c:strCache>
                <c:ptCount val="1"/>
                <c:pt idx="0">
                  <c:v>Non conforme </c:v>
                </c:pt>
              </c:strCache>
            </c:strRef>
          </c:tx>
          <c:spPr>
            <a:solidFill>
              <a:srgbClr val="C00000">
                <a:alpha val="15000"/>
              </a:srgbClr>
            </a:solidFill>
            <a:ln>
              <a:noFill/>
            </a:ln>
            <a:effectLst/>
          </c:spPr>
          <c:invertIfNegative val="0"/>
          <c:cat>
            <c:strRef>
              <c:f>'Calculs jour'!$A$15:$A$16</c:f>
              <c:strCache>
                <c:ptCount val="1"/>
                <c:pt idx="0">
                  <c:v>21/02/2020 08:34</c:v>
                </c:pt>
              </c:strCache>
            </c:strRef>
          </c:cat>
          <c:val>
            <c:numRef>
              <c:f>'Calculs jour'!$H$15:$H$16</c:f>
              <c:numCache>
                <c:formatCode>General</c:formatCode>
                <c:ptCount val="1"/>
                <c:pt idx="0">
                  <c:v>0</c:v>
                </c:pt>
              </c:numCache>
            </c:numRef>
          </c:val>
          <c:extLst>
            <c:ext xmlns:c16="http://schemas.microsoft.com/office/drawing/2014/chart" uri="{C3380CC4-5D6E-409C-BE32-E72D297353CC}">
              <c16:uniqueId val="{00000006-EB02-4E2B-A57F-4E9ED7E41B57}"/>
            </c:ext>
          </c:extLst>
        </c:ser>
        <c:dLbls>
          <c:showLegendKey val="0"/>
          <c:showVal val="0"/>
          <c:showCatName val="0"/>
          <c:showSerName val="0"/>
          <c:showPercent val="0"/>
          <c:showBubbleSize val="0"/>
        </c:dLbls>
        <c:gapWidth val="0"/>
        <c:overlap val="100"/>
        <c:axId val="1870198239"/>
        <c:axId val="1284737983"/>
      </c:barChart>
      <c:catAx>
        <c:axId val="1917197200"/>
        <c:scaling>
          <c:orientation val="minMax"/>
        </c:scaling>
        <c:delete val="1"/>
        <c:axPos val="b"/>
        <c:majorGridlines>
          <c:spPr>
            <a:ln w="9525" cap="flat" cmpd="sng" algn="ctr">
              <a:solidFill>
                <a:schemeClr val="dk1">
                  <a:lumMod val="15000"/>
                  <a:lumOff val="85000"/>
                </a:schemeClr>
              </a:solidFill>
              <a:round/>
            </a:ln>
            <a:effectLst/>
          </c:spPr>
        </c:majorGridlines>
        <c:numFmt formatCode="General" sourceLinked="1"/>
        <c:majorTickMark val="none"/>
        <c:minorTickMark val="none"/>
        <c:tickLblPos val="low"/>
        <c:crossAx val="1910555952"/>
        <c:crosses val="autoZero"/>
        <c:auto val="1"/>
        <c:lblAlgn val="ctr"/>
        <c:lblOffset val="100"/>
        <c:noMultiLvlLbl val="0"/>
      </c:catAx>
      <c:valAx>
        <c:axId val="1910555952"/>
        <c:scaling>
          <c:orientation val="minMax"/>
        </c:scaling>
        <c:delete val="0"/>
        <c:axPos val="l"/>
        <c:majorGridlines>
          <c:spPr>
            <a:ln w="9525" cap="flat" cmpd="sng" algn="ctr">
              <a:solidFill>
                <a:schemeClr val="dk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dk1">
                    <a:lumMod val="65000"/>
                    <a:lumOff val="35000"/>
                  </a:schemeClr>
                </a:solidFill>
                <a:latin typeface="+mn-lt"/>
                <a:ea typeface="+mn-ea"/>
                <a:cs typeface="+mn-cs"/>
              </a:defRPr>
            </a:pPr>
            <a:endParaRPr lang="fr-FR"/>
          </a:p>
        </c:txPr>
        <c:crossAx val="1917197200"/>
        <c:crosses val="autoZero"/>
        <c:crossBetween val="between"/>
      </c:valAx>
      <c:valAx>
        <c:axId val="1284737983"/>
        <c:scaling>
          <c:orientation val="minMax"/>
          <c:max val="1"/>
        </c:scaling>
        <c:delete val="0"/>
        <c:axPos val="r"/>
        <c:numFmt formatCode="General" sourceLinked="1"/>
        <c:majorTickMark val="out"/>
        <c:minorTickMark val="none"/>
        <c:tickLblPos val="nextTo"/>
        <c:spPr>
          <a:noFill/>
          <a:ln>
            <a:noFill/>
          </a:ln>
          <a:effectLst/>
        </c:spPr>
        <c:txPr>
          <a:bodyPr rot="-60000000" spcFirstLastPara="1" vertOverflow="ellipsis" vert="horz" wrap="square" anchor="ctr" anchorCtr="1"/>
          <a:lstStyle/>
          <a:p>
            <a:pPr>
              <a:defRPr sz="900" b="0" i="0" u="none" strike="noStrike" kern="1200" baseline="0">
                <a:noFill/>
                <a:latin typeface="+mn-lt"/>
                <a:ea typeface="+mn-ea"/>
                <a:cs typeface="+mn-cs"/>
              </a:defRPr>
            </a:pPr>
            <a:endParaRPr lang="fr-FR"/>
          </a:p>
        </c:txPr>
        <c:crossAx val="1870198239"/>
        <c:crosses val="max"/>
        <c:crossBetween val="between"/>
      </c:valAx>
      <c:catAx>
        <c:axId val="1870198239"/>
        <c:scaling>
          <c:orientation val="minMax"/>
        </c:scaling>
        <c:delete val="1"/>
        <c:axPos val="b"/>
        <c:numFmt formatCode="General" sourceLinked="1"/>
        <c:majorTickMark val="out"/>
        <c:minorTickMark val="none"/>
        <c:tickLblPos val="nextTo"/>
        <c:crossAx val="1284737983"/>
        <c:crosses val="autoZero"/>
        <c:auto val="1"/>
        <c:lblAlgn val="ctr"/>
        <c:lblOffset val="100"/>
        <c:noMultiLvlLbl val="0"/>
      </c:catAx>
      <c:spPr>
        <a:pattFill prst="ltDnDiag">
          <a:fgClr>
            <a:schemeClr val="dk1">
              <a:lumMod val="15000"/>
              <a:lumOff val="85000"/>
            </a:schemeClr>
          </a:fgClr>
          <a:bgClr>
            <a:schemeClr val="lt1"/>
          </a:bgClr>
        </a:pattFill>
        <a:ln>
          <a:noFill/>
        </a:ln>
        <a:effectLst/>
      </c:spPr>
    </c:plotArea>
    <c:plotVisOnly val="1"/>
    <c:dispBlanksAs val="gap"/>
    <c:showDLblsOverMax val="0"/>
    <c:extLst/>
  </c:chart>
  <c:spPr>
    <a:noFill/>
    <a:ln w="9525" cap="flat" cmpd="sng" algn="ctr">
      <a:noFill/>
      <a:round/>
    </a:ln>
    <a:effectLst/>
  </c:spPr>
  <c:txPr>
    <a:bodyPr/>
    <a:lstStyle/>
    <a:p>
      <a:pPr>
        <a:defRPr/>
      </a:pPr>
      <a:endParaRPr lang="fr-FR"/>
    </a:p>
  </c:txPr>
  <c:printSettings>
    <c:headerFooter/>
    <c:pageMargins b="0.75" l="0.7" r="0.7" t="0.75" header="0.3" footer="0.3"/>
    <c:pageSetup/>
  </c:printSettings>
  <c:extLst>
    <c:ext xmlns:c14="http://schemas.microsoft.com/office/drawing/2007/8/2/chart" uri="{781A3756-C4B2-4CAC-9D66-4F8BD8637D16}">
      <c14:pivotOptions>
        <c14:dropZoneFilter val="1"/>
        <c14:dropZoneCategories val="1"/>
        <c14:dropZoneData val="1"/>
      </c14:pivotOptions>
    </c:ext>
    <c:ext xmlns:c16="http://schemas.microsoft.com/office/drawing/2014/chart" uri="{E28EC0CA-F0BB-4C9C-879D-F8772B89E7AC}">
      <c16:pivotOptions16>
        <c16:showExpandCollapseFieldButtons val="1"/>
      </c16:pivotOptions16>
    </c:ext>
  </c:extLst>
</c:chartSpace>
</file>

<file path=xl/charts/chart1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pivotSource>
    <c:name>[Journal V0.5.8.xlsm]Calculs jour!Tableau croisé dynamique2</c:name>
    <c:fmtId val="25"/>
  </c:pivotSource>
  <c:chart>
    <c:title>
      <c:tx>
        <c:rich>
          <a:bodyPr rot="0" spcFirstLastPara="1" vertOverflow="ellipsis" vert="horz" wrap="square" anchor="ctr" anchorCtr="1"/>
          <a:lstStyle/>
          <a:p>
            <a:pPr>
              <a:defRPr sz="1200" b="0" i="0" u="none" strike="noStrike" kern="1200" cap="none" spc="0" normalizeH="0" baseline="0">
                <a:solidFill>
                  <a:schemeClr val="dk1">
                    <a:lumMod val="50000"/>
                    <a:lumOff val="50000"/>
                  </a:schemeClr>
                </a:solidFill>
                <a:latin typeface="Cambria" panose="02040503050406030204" pitchFamily="18" charset="0"/>
                <a:ea typeface="+mj-ea"/>
                <a:cs typeface="+mj-cs"/>
              </a:defRPr>
            </a:pPr>
            <a:r>
              <a:rPr lang="fr-FR"/>
              <a:t>Variations -</a:t>
            </a:r>
            <a:r>
              <a:rPr lang="fr-FR" baseline="0"/>
              <a:t> Conformités</a:t>
            </a:r>
            <a:endParaRPr lang="fr-FR"/>
          </a:p>
        </c:rich>
      </c:tx>
      <c:overlay val="0"/>
      <c:spPr>
        <a:noFill/>
        <a:ln>
          <a:noFill/>
        </a:ln>
        <a:effectLst/>
      </c:spPr>
      <c:txPr>
        <a:bodyPr rot="0" spcFirstLastPara="1" vertOverflow="ellipsis" vert="horz" wrap="square" anchor="ctr" anchorCtr="1"/>
        <a:lstStyle/>
        <a:p>
          <a:pPr>
            <a:defRPr sz="1200" b="0" i="0" u="none" strike="noStrike" kern="1200" cap="none" spc="0" normalizeH="0" baseline="0">
              <a:solidFill>
                <a:schemeClr val="dk1">
                  <a:lumMod val="50000"/>
                  <a:lumOff val="50000"/>
                </a:schemeClr>
              </a:solidFill>
              <a:latin typeface="Cambria" panose="02040503050406030204" pitchFamily="18" charset="0"/>
              <a:ea typeface="+mj-ea"/>
              <a:cs typeface="+mj-cs"/>
            </a:defRPr>
          </a:pPr>
          <a:endParaRPr lang="fr-FR"/>
        </a:p>
      </c:txPr>
    </c:title>
    <c:autoTitleDeleted val="0"/>
    <c:pivotFmts>
      <c:pivotFmt>
        <c:idx val="0"/>
        <c:dLbl>
          <c:idx val="0"/>
          <c:showLegendKey val="0"/>
          <c:showVal val="0"/>
          <c:showCatName val="0"/>
          <c:showSerName val="0"/>
          <c:showPercent val="0"/>
          <c:showBubbleSize val="0"/>
          <c:extLst>
            <c:ext xmlns:c15="http://schemas.microsoft.com/office/drawing/2012/chart" uri="{CE6537A1-D6FC-4f65-9D91-7224C49458BB}"/>
          </c:extLst>
        </c:dLbl>
      </c:pivotFmt>
      <c:pivotFmt>
        <c:idx val="1"/>
        <c:dLbl>
          <c:idx val="0"/>
          <c:showLegendKey val="0"/>
          <c:showVal val="0"/>
          <c:showCatName val="0"/>
          <c:showSerName val="0"/>
          <c:showPercent val="0"/>
          <c:showBubbleSize val="0"/>
          <c:extLst>
            <c:ext xmlns:c15="http://schemas.microsoft.com/office/drawing/2012/chart" uri="{CE6537A1-D6FC-4f65-9D91-7224C49458BB}"/>
          </c:extLst>
        </c:dLbl>
      </c:pivotFmt>
      <c:pivotFmt>
        <c:idx val="2"/>
        <c:dLbl>
          <c:idx val="0"/>
          <c:showLegendKey val="0"/>
          <c:showVal val="0"/>
          <c:showCatName val="0"/>
          <c:showSerName val="0"/>
          <c:showPercent val="0"/>
          <c:showBubbleSize val="0"/>
          <c:extLst>
            <c:ext xmlns:c15="http://schemas.microsoft.com/office/drawing/2012/chart" uri="{CE6537A1-D6FC-4f65-9D91-7224C49458BB}"/>
          </c:extLst>
        </c:dLbl>
      </c:pivotFmt>
      <c:pivotFmt>
        <c:idx val="3"/>
        <c:dLbl>
          <c:idx val="0"/>
          <c:showLegendKey val="0"/>
          <c:showVal val="0"/>
          <c:showCatName val="0"/>
          <c:showSerName val="0"/>
          <c:showPercent val="0"/>
          <c:showBubbleSize val="0"/>
          <c:extLst>
            <c:ext xmlns:c15="http://schemas.microsoft.com/office/drawing/2012/chart" uri="{CE6537A1-D6FC-4f65-9D91-7224C49458BB}"/>
          </c:extLst>
        </c:dLbl>
      </c:pivotFmt>
      <c:pivotFmt>
        <c:idx val="4"/>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dk1">
                      <a:lumMod val="75000"/>
                      <a:lumOff val="25000"/>
                    </a:schemeClr>
                  </a:solidFill>
                  <a:latin typeface="+mn-lt"/>
                  <a:ea typeface="+mn-ea"/>
                  <a:cs typeface="+mn-cs"/>
                </a:defRPr>
              </a:pPr>
              <a:endParaRPr lang="fr-FR"/>
            </a:p>
          </c:txPr>
          <c:dLblPos val="inBase"/>
          <c:showLegendKey val="0"/>
          <c:showVal val="1"/>
          <c:showCatName val="0"/>
          <c:showSerName val="0"/>
          <c:showPercent val="0"/>
          <c:showBubbleSize val="0"/>
          <c:extLst>
            <c:ext xmlns:c15="http://schemas.microsoft.com/office/drawing/2012/chart" uri="{CE6537A1-D6FC-4f65-9D91-7224C49458BB}"/>
          </c:extLst>
        </c:dLbl>
      </c:pivotFmt>
      <c:pivotFmt>
        <c:idx val="5"/>
        <c:spPr>
          <a:solidFill>
            <a:schemeClr val="accent1"/>
          </a:solidFill>
          <a:ln>
            <a:noFill/>
          </a:ln>
          <a:effectLst/>
        </c:spPr>
        <c:marker>
          <c:symbol val="circle"/>
          <c:size val="6"/>
          <c:spPr>
            <a:solidFill>
              <a:schemeClr val="lt1"/>
            </a:solidFill>
            <a:ln w="1587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dk1">
                      <a:lumMod val="75000"/>
                      <a:lumOff val="25000"/>
                    </a:schemeClr>
                  </a:solidFill>
                  <a:latin typeface="+mn-lt"/>
                  <a:ea typeface="+mn-ea"/>
                  <a:cs typeface="+mn-cs"/>
                </a:defRPr>
              </a:pPr>
              <a:endParaRPr lang="fr-FR"/>
            </a:p>
          </c:txPr>
          <c:showLegendKey val="0"/>
          <c:showVal val="1"/>
          <c:showCatName val="0"/>
          <c:showSerName val="0"/>
          <c:showPercent val="0"/>
          <c:showBubbleSize val="0"/>
          <c:extLst>
            <c:ext xmlns:c15="http://schemas.microsoft.com/office/drawing/2012/chart" uri="{CE6537A1-D6FC-4f65-9D91-7224C49458BB}"/>
          </c:extLst>
        </c:dLbl>
      </c:pivotFmt>
      <c:pivotFmt>
        <c:idx val="6"/>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dk1">
                      <a:lumMod val="75000"/>
                      <a:lumOff val="25000"/>
                    </a:schemeClr>
                  </a:solidFill>
                  <a:latin typeface="+mn-lt"/>
                  <a:ea typeface="+mn-ea"/>
                  <a:cs typeface="+mn-cs"/>
                </a:defRPr>
              </a:pPr>
              <a:endParaRPr lang="fr-FR"/>
            </a:p>
          </c:txPr>
          <c:showLegendKey val="0"/>
          <c:showVal val="0"/>
          <c:showCatName val="0"/>
          <c:showSerName val="0"/>
          <c:showPercent val="0"/>
          <c:showBubbleSize val="0"/>
          <c:extLst>
            <c:ext xmlns:c15="http://schemas.microsoft.com/office/drawing/2012/chart" uri="{CE6537A1-D6FC-4f65-9D91-7224C49458BB}"/>
          </c:extLst>
        </c:dLbl>
      </c:pivotFmt>
      <c:pivotFmt>
        <c:idx val="7"/>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dk1">
                      <a:lumMod val="75000"/>
                      <a:lumOff val="25000"/>
                    </a:schemeClr>
                  </a:solidFill>
                  <a:latin typeface="+mn-lt"/>
                  <a:ea typeface="+mn-ea"/>
                  <a:cs typeface="+mn-cs"/>
                </a:defRPr>
              </a:pPr>
              <a:endParaRPr lang="fr-FR"/>
            </a:p>
          </c:txPr>
          <c:showLegendKey val="0"/>
          <c:showVal val="0"/>
          <c:showCatName val="0"/>
          <c:showSerName val="0"/>
          <c:showPercent val="0"/>
          <c:showBubbleSize val="0"/>
          <c:extLst>
            <c:ext xmlns:c15="http://schemas.microsoft.com/office/drawing/2012/chart" uri="{CE6537A1-D6FC-4f65-9D91-7224C49458BB}"/>
          </c:extLst>
        </c:dLbl>
      </c:pivotFmt>
      <c:pivotFmt>
        <c:idx val="8"/>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dk1">
                      <a:lumMod val="75000"/>
                      <a:lumOff val="25000"/>
                    </a:schemeClr>
                  </a:solidFill>
                  <a:latin typeface="+mn-lt"/>
                  <a:ea typeface="+mn-ea"/>
                  <a:cs typeface="+mn-cs"/>
                </a:defRPr>
              </a:pPr>
              <a:endParaRPr lang="fr-FR"/>
            </a:p>
          </c:txPr>
          <c:showLegendKey val="0"/>
          <c:showVal val="0"/>
          <c:showCatName val="0"/>
          <c:showSerName val="0"/>
          <c:showPercent val="0"/>
          <c:showBubbleSize val="0"/>
          <c:extLst>
            <c:ext xmlns:c15="http://schemas.microsoft.com/office/drawing/2012/chart" uri="{CE6537A1-D6FC-4f65-9D91-7224C49458BB}"/>
          </c:extLst>
        </c:dLbl>
      </c:pivotFmt>
      <c:pivotFmt>
        <c:idx val="9"/>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dk1">
                      <a:lumMod val="75000"/>
                      <a:lumOff val="25000"/>
                    </a:schemeClr>
                  </a:solidFill>
                  <a:latin typeface="+mn-lt"/>
                  <a:ea typeface="+mn-ea"/>
                  <a:cs typeface="+mn-cs"/>
                </a:defRPr>
              </a:pPr>
              <a:endParaRPr lang="fr-FR"/>
            </a:p>
          </c:txPr>
          <c:showLegendKey val="0"/>
          <c:showVal val="0"/>
          <c:showCatName val="0"/>
          <c:showSerName val="0"/>
          <c:showPercent val="0"/>
          <c:showBubbleSize val="0"/>
          <c:extLst>
            <c:ext xmlns:c15="http://schemas.microsoft.com/office/drawing/2012/chart" uri="{CE6537A1-D6FC-4f65-9D91-7224C49458BB}"/>
          </c:extLst>
        </c:dLbl>
      </c:pivotFmt>
      <c:pivotFmt>
        <c:idx val="10"/>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dk1">
                      <a:lumMod val="75000"/>
                      <a:lumOff val="25000"/>
                    </a:schemeClr>
                  </a:solidFill>
                  <a:latin typeface="+mn-lt"/>
                  <a:ea typeface="+mn-ea"/>
                  <a:cs typeface="+mn-cs"/>
                </a:defRPr>
              </a:pPr>
              <a:endParaRPr lang="fr-FR"/>
            </a:p>
          </c:txPr>
          <c:showLegendKey val="0"/>
          <c:showVal val="0"/>
          <c:showCatName val="0"/>
          <c:showSerName val="0"/>
          <c:showPercent val="0"/>
          <c:showBubbleSize val="0"/>
          <c:extLst>
            <c:ext xmlns:c15="http://schemas.microsoft.com/office/drawing/2012/chart" uri="{CE6537A1-D6FC-4f65-9D91-7224C49458BB}"/>
          </c:extLst>
        </c:dLbl>
      </c:pivotFmt>
      <c:pivotFmt>
        <c:idx val="11"/>
        <c:spPr>
          <a:pattFill prst="ltUpDiag">
            <a:fgClr>
              <a:srgbClr val="C00000"/>
            </a:fgClr>
            <a:bgClr>
              <a:schemeClr val="bg1"/>
            </a:bgClr>
          </a:pattFill>
          <a:ln>
            <a:noFill/>
          </a:ln>
          <a:effectLst>
            <a:innerShdw blurRad="114300">
              <a:srgbClr val="C00000"/>
            </a:innerShdw>
          </a:effectLst>
        </c:spPr>
        <c:marker>
          <c:symbol val="none"/>
        </c:marker>
        <c:dLbl>
          <c:idx val="0"/>
          <c:numFmt formatCode="0.00%;\-\ 0.00%;&quot;&quot;" sourceLinked="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dk1">
                      <a:lumMod val="75000"/>
                      <a:lumOff val="25000"/>
                    </a:schemeClr>
                  </a:solidFill>
                  <a:latin typeface="+mn-lt"/>
                  <a:ea typeface="+mn-ea"/>
                  <a:cs typeface="+mn-cs"/>
                </a:defRPr>
              </a:pPr>
              <a:endParaRPr lang="fr-FR"/>
            </a:p>
          </c:txPr>
          <c:showLegendKey val="0"/>
          <c:showVal val="1"/>
          <c:showCatName val="0"/>
          <c:showSerName val="0"/>
          <c:showPercent val="0"/>
          <c:showBubbleSize val="0"/>
          <c:extLst>
            <c:ext xmlns:c15="http://schemas.microsoft.com/office/drawing/2012/chart" uri="{CE6537A1-D6FC-4f65-9D91-7224C49458BB}"/>
          </c:extLst>
        </c:dLbl>
      </c:pivotFmt>
      <c:pivotFmt>
        <c:idx val="12"/>
        <c:spPr>
          <a:pattFill prst="ltUpDiag">
            <a:fgClr>
              <a:srgbClr val="0070C0"/>
            </a:fgClr>
            <a:bgClr>
              <a:schemeClr val="bg1"/>
            </a:bgClr>
          </a:pattFill>
          <a:ln>
            <a:noFill/>
          </a:ln>
          <a:effectLst>
            <a:innerShdw blurRad="114300">
              <a:srgbClr val="0070C0"/>
            </a:innerShdw>
          </a:effectLst>
        </c:spPr>
        <c:marker>
          <c:symbol val="none"/>
        </c:marker>
        <c:dLbl>
          <c:idx val="0"/>
          <c:numFmt formatCode="\+\ 0.00%;\-\ 0.00%;&quot;&quot;" sourceLinked="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dk1">
                      <a:lumMod val="75000"/>
                      <a:lumOff val="25000"/>
                    </a:schemeClr>
                  </a:solidFill>
                  <a:latin typeface="+mn-lt"/>
                  <a:ea typeface="+mn-ea"/>
                  <a:cs typeface="+mn-cs"/>
                </a:defRPr>
              </a:pPr>
              <a:endParaRPr lang="fr-FR"/>
            </a:p>
          </c:txPr>
          <c:showLegendKey val="0"/>
          <c:showVal val="1"/>
          <c:showCatName val="0"/>
          <c:showSerName val="0"/>
          <c:showPercent val="0"/>
          <c:showBubbleSize val="0"/>
          <c:extLst>
            <c:ext xmlns:c15="http://schemas.microsoft.com/office/drawing/2012/chart" uri="{CE6537A1-D6FC-4f65-9D91-7224C49458BB}"/>
          </c:extLst>
        </c:dLbl>
      </c:pivotFmt>
      <c:pivotFmt>
        <c:idx val="13"/>
        <c:spPr>
          <a:noFill/>
          <a:ln>
            <a:noFill/>
          </a:ln>
          <a:effectLst>
            <a:innerShdw blurRad="114300">
              <a:srgbClr val="0070C0"/>
            </a:innerShdw>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dk1">
                      <a:lumMod val="75000"/>
                      <a:lumOff val="25000"/>
                    </a:schemeClr>
                  </a:solidFill>
                  <a:latin typeface="+mn-lt"/>
                  <a:ea typeface="+mn-ea"/>
                  <a:cs typeface="+mn-cs"/>
                </a:defRPr>
              </a:pPr>
              <a:endParaRPr lang="fr-FR"/>
            </a:p>
          </c:txPr>
          <c:showLegendKey val="0"/>
          <c:showVal val="0"/>
          <c:showCatName val="0"/>
          <c:showSerName val="0"/>
          <c:showPercent val="0"/>
          <c:showBubbleSize val="0"/>
          <c:extLst>
            <c:ext xmlns:c15="http://schemas.microsoft.com/office/drawing/2012/chart" uri="{CE6537A1-D6FC-4f65-9D91-7224C49458BB}"/>
          </c:extLst>
        </c:dLbl>
      </c:pivotFmt>
      <c:pivotFmt>
        <c:idx val="14"/>
        <c:spPr>
          <a:noFill/>
          <a:ln>
            <a:noFill/>
          </a:ln>
          <a:effectLst>
            <a:innerShdw blurRad="114300">
              <a:srgbClr val="C00000"/>
            </a:innerShdw>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dk1">
                      <a:lumMod val="75000"/>
                      <a:lumOff val="25000"/>
                    </a:schemeClr>
                  </a:solidFill>
                  <a:latin typeface="+mn-lt"/>
                  <a:ea typeface="+mn-ea"/>
                  <a:cs typeface="+mn-cs"/>
                </a:defRPr>
              </a:pPr>
              <a:endParaRPr lang="fr-FR"/>
            </a:p>
          </c:txPr>
          <c:showLegendKey val="0"/>
          <c:showVal val="0"/>
          <c:showCatName val="0"/>
          <c:showSerName val="0"/>
          <c:showPercent val="0"/>
          <c:showBubbleSize val="0"/>
          <c:extLst>
            <c:ext xmlns:c15="http://schemas.microsoft.com/office/drawing/2012/chart" uri="{CE6537A1-D6FC-4f65-9D91-7224C49458BB}"/>
          </c:extLst>
        </c:dLbl>
      </c:pivotFmt>
      <c:pivotFmt>
        <c:idx val="15"/>
        <c:spPr>
          <a:pattFill prst="ltUpDiag">
            <a:fgClr>
              <a:srgbClr val="0070C0"/>
            </a:fgClr>
            <a:bgClr>
              <a:schemeClr val="bg1"/>
            </a:bgClr>
          </a:pattFill>
          <a:ln>
            <a:noFill/>
          </a:ln>
          <a:effectLst>
            <a:innerShdw blurRad="114300">
              <a:srgbClr val="0070C0"/>
            </a:innerShdw>
          </a:effectLst>
        </c:spPr>
        <c:marker>
          <c:symbol val="none"/>
        </c:marker>
        <c:dLbl>
          <c:idx val="0"/>
          <c:numFmt formatCode="\+\ 0.00%;\-\ 0.00%;&quot;&quot;" sourceLinked="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dk1">
                      <a:lumMod val="75000"/>
                      <a:lumOff val="25000"/>
                    </a:schemeClr>
                  </a:solidFill>
                  <a:latin typeface="+mn-lt"/>
                  <a:ea typeface="+mn-ea"/>
                  <a:cs typeface="+mn-cs"/>
                </a:defRPr>
              </a:pPr>
              <a:endParaRPr lang="fr-FR"/>
            </a:p>
          </c:txPr>
          <c:showLegendKey val="0"/>
          <c:showVal val="1"/>
          <c:showCatName val="0"/>
          <c:showSerName val="0"/>
          <c:showPercent val="0"/>
          <c:showBubbleSize val="0"/>
          <c:extLst>
            <c:ext xmlns:c15="http://schemas.microsoft.com/office/drawing/2012/chart" uri="{CE6537A1-D6FC-4f65-9D91-7224C49458BB}"/>
          </c:extLst>
        </c:dLbl>
      </c:pivotFmt>
      <c:pivotFmt>
        <c:idx val="16"/>
        <c:spPr>
          <a:pattFill prst="ltUpDiag">
            <a:fgClr>
              <a:srgbClr val="C00000"/>
            </a:fgClr>
            <a:bgClr>
              <a:schemeClr val="bg1"/>
            </a:bgClr>
          </a:pattFill>
          <a:ln>
            <a:noFill/>
          </a:ln>
          <a:effectLst>
            <a:innerShdw blurRad="114300">
              <a:srgbClr val="C00000"/>
            </a:innerShdw>
          </a:effectLst>
        </c:spPr>
        <c:marker>
          <c:symbol val="none"/>
        </c:marker>
        <c:dLbl>
          <c:idx val="0"/>
          <c:numFmt formatCode="\+\ 0.00%;\-\ 0.00%;&quot;&quot;" sourceLinked="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dk1">
                      <a:lumMod val="75000"/>
                      <a:lumOff val="25000"/>
                    </a:schemeClr>
                  </a:solidFill>
                  <a:latin typeface="+mn-lt"/>
                  <a:ea typeface="+mn-ea"/>
                  <a:cs typeface="+mn-cs"/>
                </a:defRPr>
              </a:pPr>
              <a:endParaRPr lang="fr-FR"/>
            </a:p>
          </c:txPr>
          <c:showLegendKey val="0"/>
          <c:showVal val="1"/>
          <c:showCatName val="0"/>
          <c:showSerName val="0"/>
          <c:showPercent val="0"/>
          <c:showBubbleSize val="0"/>
          <c:extLst>
            <c:ext xmlns:c15="http://schemas.microsoft.com/office/drawing/2012/chart" uri="{CE6537A1-D6FC-4f65-9D91-7224C49458BB}"/>
          </c:extLst>
        </c:dLbl>
      </c:pivotFmt>
      <c:pivotFmt>
        <c:idx val="17"/>
        <c:spPr>
          <a:noFill/>
          <a:ln>
            <a:noFill/>
          </a:ln>
          <a:effectLst>
            <a:innerShdw blurRad="114300">
              <a:srgbClr val="0070C0"/>
            </a:innerShdw>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dk1">
                      <a:lumMod val="75000"/>
                      <a:lumOff val="25000"/>
                    </a:schemeClr>
                  </a:solidFill>
                  <a:latin typeface="+mn-lt"/>
                  <a:ea typeface="+mn-ea"/>
                  <a:cs typeface="+mn-cs"/>
                </a:defRPr>
              </a:pPr>
              <a:endParaRPr lang="fr-FR"/>
            </a:p>
          </c:txPr>
          <c:showLegendKey val="0"/>
          <c:showVal val="0"/>
          <c:showCatName val="0"/>
          <c:showSerName val="0"/>
          <c:showPercent val="0"/>
          <c:showBubbleSize val="0"/>
          <c:extLst>
            <c:ext xmlns:c15="http://schemas.microsoft.com/office/drawing/2012/chart" uri="{CE6537A1-D6FC-4f65-9D91-7224C49458BB}"/>
          </c:extLst>
        </c:dLbl>
      </c:pivotFmt>
      <c:pivotFmt>
        <c:idx val="18"/>
        <c:spPr>
          <a:solidFill>
            <a:srgbClr val="0070C0">
              <a:alpha val="15000"/>
            </a:srgbClr>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dk1">
                      <a:lumMod val="75000"/>
                      <a:lumOff val="25000"/>
                    </a:schemeClr>
                  </a:solidFill>
                  <a:latin typeface="+mn-lt"/>
                  <a:ea typeface="+mn-ea"/>
                  <a:cs typeface="+mn-cs"/>
                </a:defRPr>
              </a:pPr>
              <a:endParaRPr lang="fr-FR"/>
            </a:p>
          </c:txPr>
          <c:showLegendKey val="0"/>
          <c:showVal val="0"/>
          <c:showCatName val="0"/>
          <c:showSerName val="0"/>
          <c:showPercent val="0"/>
          <c:showBubbleSize val="0"/>
          <c:extLst>
            <c:ext xmlns:c15="http://schemas.microsoft.com/office/drawing/2012/chart" uri="{CE6537A1-D6FC-4f65-9D91-7224C49458BB}"/>
          </c:extLst>
        </c:dLbl>
      </c:pivotFmt>
      <c:pivotFmt>
        <c:idx val="19"/>
        <c:spPr>
          <a:solidFill>
            <a:srgbClr val="C00000">
              <a:alpha val="15000"/>
            </a:srgbClr>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dk1">
                      <a:lumMod val="75000"/>
                      <a:lumOff val="25000"/>
                    </a:schemeClr>
                  </a:solidFill>
                  <a:latin typeface="+mn-lt"/>
                  <a:ea typeface="+mn-ea"/>
                  <a:cs typeface="+mn-cs"/>
                </a:defRPr>
              </a:pPr>
              <a:endParaRPr lang="fr-FR"/>
            </a:p>
          </c:txPr>
          <c:showLegendKey val="0"/>
          <c:showVal val="0"/>
          <c:showCatName val="0"/>
          <c:showSerName val="0"/>
          <c:showPercent val="0"/>
          <c:showBubbleSize val="0"/>
          <c:extLst>
            <c:ext xmlns:c15="http://schemas.microsoft.com/office/drawing/2012/chart" uri="{CE6537A1-D6FC-4f65-9D91-7224C49458BB}"/>
          </c:extLst>
        </c:dLbl>
      </c:pivotFmt>
      <c:pivotFmt>
        <c:idx val="20"/>
        <c:spPr>
          <a:no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dk1">
                      <a:lumMod val="75000"/>
                      <a:lumOff val="25000"/>
                    </a:schemeClr>
                  </a:solidFill>
                  <a:latin typeface="+mn-lt"/>
                  <a:ea typeface="+mn-ea"/>
                  <a:cs typeface="+mn-cs"/>
                </a:defRPr>
              </a:pPr>
              <a:endParaRPr lang="fr-FR"/>
            </a:p>
          </c:txPr>
          <c:showLegendKey val="0"/>
          <c:showVal val="0"/>
          <c:showCatName val="0"/>
          <c:showSerName val="0"/>
          <c:showPercent val="0"/>
          <c:showBubbleSize val="0"/>
          <c:extLst>
            <c:ext xmlns:c15="http://schemas.microsoft.com/office/drawing/2012/chart" uri="{CE6537A1-D6FC-4f65-9D91-7224C49458BB}"/>
          </c:extLst>
        </c:dLbl>
      </c:pivotFmt>
      <c:pivotFmt>
        <c:idx val="21"/>
        <c:spPr>
          <a:no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dk1">
                      <a:lumMod val="75000"/>
                      <a:lumOff val="25000"/>
                    </a:schemeClr>
                  </a:solidFill>
                  <a:latin typeface="+mn-lt"/>
                  <a:ea typeface="+mn-ea"/>
                  <a:cs typeface="+mn-cs"/>
                </a:defRPr>
              </a:pPr>
              <a:endParaRPr lang="fr-FR"/>
            </a:p>
          </c:txPr>
          <c:showLegendKey val="0"/>
          <c:showVal val="0"/>
          <c:showCatName val="0"/>
          <c:showSerName val="0"/>
          <c:showPercent val="0"/>
          <c:showBubbleSize val="0"/>
          <c:extLst>
            <c:ext xmlns:c15="http://schemas.microsoft.com/office/drawing/2012/chart" uri="{CE6537A1-D6FC-4f65-9D91-7224C49458BB}"/>
          </c:extLst>
        </c:dLbl>
      </c:pivotFmt>
      <c:pivotFmt>
        <c:idx val="22"/>
        <c:spPr>
          <a:no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dk1">
                      <a:lumMod val="75000"/>
                      <a:lumOff val="25000"/>
                    </a:schemeClr>
                  </a:solidFill>
                  <a:latin typeface="+mn-lt"/>
                  <a:ea typeface="+mn-ea"/>
                  <a:cs typeface="+mn-cs"/>
                </a:defRPr>
              </a:pPr>
              <a:endParaRPr lang="fr-FR"/>
            </a:p>
          </c:txPr>
          <c:showLegendKey val="0"/>
          <c:showVal val="0"/>
          <c:showCatName val="0"/>
          <c:showSerName val="0"/>
          <c:showPercent val="0"/>
          <c:showBubbleSize val="0"/>
          <c:extLst>
            <c:ext xmlns:c15="http://schemas.microsoft.com/office/drawing/2012/chart" uri="{CE6537A1-D6FC-4f65-9D91-7224C49458BB}"/>
          </c:extLst>
        </c:dLbl>
      </c:pivotFmt>
      <c:pivotFmt>
        <c:idx val="23"/>
        <c:spPr>
          <a:noFill/>
          <a:ln>
            <a:noFill/>
          </a:ln>
          <a:effectLst>
            <a:innerShdw blurRad="114300">
              <a:srgbClr val="0070C0"/>
            </a:innerShdw>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dk1">
                      <a:lumMod val="75000"/>
                      <a:lumOff val="25000"/>
                    </a:schemeClr>
                  </a:solidFill>
                  <a:latin typeface="+mn-lt"/>
                  <a:ea typeface="+mn-ea"/>
                  <a:cs typeface="+mn-cs"/>
                </a:defRPr>
              </a:pPr>
              <a:endParaRPr lang="fr-FR"/>
            </a:p>
          </c:txPr>
          <c:showLegendKey val="0"/>
          <c:showVal val="0"/>
          <c:showCatName val="0"/>
          <c:showSerName val="0"/>
          <c:showPercent val="0"/>
          <c:showBubbleSize val="0"/>
          <c:extLst>
            <c:ext xmlns:c15="http://schemas.microsoft.com/office/drawing/2012/chart" uri="{CE6537A1-D6FC-4f65-9D91-7224C49458BB}"/>
          </c:extLst>
        </c:dLbl>
      </c:pivotFmt>
      <c:pivotFmt>
        <c:idx val="24"/>
        <c:spPr>
          <a:no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dk1">
                      <a:lumMod val="75000"/>
                      <a:lumOff val="25000"/>
                    </a:schemeClr>
                  </a:solidFill>
                  <a:latin typeface="+mn-lt"/>
                  <a:ea typeface="+mn-ea"/>
                  <a:cs typeface="+mn-cs"/>
                </a:defRPr>
              </a:pPr>
              <a:endParaRPr lang="fr-FR"/>
            </a:p>
          </c:txPr>
          <c:showLegendKey val="0"/>
          <c:showVal val="0"/>
          <c:showCatName val="0"/>
          <c:showSerName val="0"/>
          <c:showPercent val="0"/>
          <c:showBubbleSize val="0"/>
          <c:extLst>
            <c:ext xmlns:c15="http://schemas.microsoft.com/office/drawing/2012/chart" uri="{CE6537A1-D6FC-4f65-9D91-7224C49458BB}"/>
          </c:extLst>
        </c:dLbl>
      </c:pivotFmt>
      <c:pivotFmt>
        <c:idx val="25"/>
        <c:spPr>
          <a:noFill/>
          <a:ln>
            <a:noFill/>
          </a:ln>
          <a:effectLst>
            <a:innerShdw blurRad="114300">
              <a:srgbClr val="0070C0"/>
            </a:innerShdw>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dk1">
                      <a:lumMod val="75000"/>
                      <a:lumOff val="25000"/>
                    </a:schemeClr>
                  </a:solidFill>
                  <a:latin typeface="+mn-lt"/>
                  <a:ea typeface="+mn-ea"/>
                  <a:cs typeface="+mn-cs"/>
                </a:defRPr>
              </a:pPr>
              <a:endParaRPr lang="fr-FR"/>
            </a:p>
          </c:txPr>
          <c:showLegendKey val="0"/>
          <c:showVal val="0"/>
          <c:showCatName val="0"/>
          <c:showSerName val="0"/>
          <c:showPercent val="0"/>
          <c:showBubbleSize val="0"/>
          <c:extLst>
            <c:ext xmlns:c15="http://schemas.microsoft.com/office/drawing/2012/chart" uri="{CE6537A1-D6FC-4f65-9D91-7224C49458BB}"/>
          </c:extLst>
        </c:dLbl>
      </c:pivotFmt>
      <c:pivotFmt>
        <c:idx val="26"/>
        <c:spPr>
          <a:no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dk1">
                      <a:lumMod val="75000"/>
                      <a:lumOff val="25000"/>
                    </a:schemeClr>
                  </a:solidFill>
                  <a:latin typeface="+mn-lt"/>
                  <a:ea typeface="+mn-ea"/>
                  <a:cs typeface="+mn-cs"/>
                </a:defRPr>
              </a:pPr>
              <a:endParaRPr lang="fr-FR"/>
            </a:p>
          </c:txPr>
          <c:showLegendKey val="0"/>
          <c:showVal val="0"/>
          <c:showCatName val="0"/>
          <c:showSerName val="0"/>
          <c:showPercent val="0"/>
          <c:showBubbleSize val="0"/>
          <c:extLst>
            <c:ext xmlns:c15="http://schemas.microsoft.com/office/drawing/2012/chart" uri="{CE6537A1-D6FC-4f65-9D91-7224C49458BB}"/>
          </c:extLst>
        </c:dLbl>
      </c:pivotFmt>
      <c:pivotFmt>
        <c:idx val="27"/>
        <c:spPr>
          <a:no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dk1">
                      <a:lumMod val="75000"/>
                      <a:lumOff val="25000"/>
                    </a:schemeClr>
                  </a:solidFill>
                  <a:latin typeface="+mn-lt"/>
                  <a:ea typeface="+mn-ea"/>
                  <a:cs typeface="+mn-cs"/>
                </a:defRPr>
              </a:pPr>
              <a:endParaRPr lang="fr-FR"/>
            </a:p>
          </c:txPr>
          <c:showLegendKey val="0"/>
          <c:showVal val="0"/>
          <c:showCatName val="0"/>
          <c:showSerName val="0"/>
          <c:showPercent val="0"/>
          <c:showBubbleSize val="0"/>
          <c:extLst>
            <c:ext xmlns:c15="http://schemas.microsoft.com/office/drawing/2012/chart" uri="{CE6537A1-D6FC-4f65-9D91-7224C49458BB}"/>
          </c:extLst>
        </c:dLbl>
      </c:pivotFmt>
      <c:pivotFmt>
        <c:idx val="28"/>
        <c:spPr>
          <a:no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dk1">
                      <a:lumMod val="75000"/>
                      <a:lumOff val="25000"/>
                    </a:schemeClr>
                  </a:solidFill>
                  <a:latin typeface="+mn-lt"/>
                  <a:ea typeface="+mn-ea"/>
                  <a:cs typeface="+mn-cs"/>
                </a:defRPr>
              </a:pPr>
              <a:endParaRPr lang="fr-FR"/>
            </a:p>
          </c:txPr>
          <c:showLegendKey val="0"/>
          <c:showVal val="0"/>
          <c:showCatName val="0"/>
          <c:showSerName val="0"/>
          <c:showPercent val="0"/>
          <c:showBubbleSize val="0"/>
          <c:extLst>
            <c:ext xmlns:c15="http://schemas.microsoft.com/office/drawing/2012/chart" uri="{CE6537A1-D6FC-4f65-9D91-7224C49458BB}"/>
          </c:extLst>
        </c:dLbl>
      </c:pivotFmt>
      <c:pivotFmt>
        <c:idx val="29"/>
        <c:spPr>
          <a:no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dk1">
                      <a:lumMod val="75000"/>
                      <a:lumOff val="25000"/>
                    </a:schemeClr>
                  </a:solidFill>
                  <a:latin typeface="+mn-lt"/>
                  <a:ea typeface="+mn-ea"/>
                  <a:cs typeface="+mn-cs"/>
                </a:defRPr>
              </a:pPr>
              <a:endParaRPr lang="fr-FR"/>
            </a:p>
          </c:txPr>
          <c:showLegendKey val="0"/>
          <c:showVal val="0"/>
          <c:showCatName val="0"/>
          <c:showSerName val="0"/>
          <c:showPercent val="0"/>
          <c:showBubbleSize val="0"/>
          <c:extLst>
            <c:ext xmlns:c15="http://schemas.microsoft.com/office/drawing/2012/chart" uri="{CE6537A1-D6FC-4f65-9D91-7224C49458BB}"/>
          </c:extLst>
        </c:dLbl>
      </c:pivotFmt>
      <c:pivotFmt>
        <c:idx val="30"/>
        <c:spPr>
          <a:no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dk1">
                      <a:lumMod val="75000"/>
                      <a:lumOff val="25000"/>
                    </a:schemeClr>
                  </a:solidFill>
                  <a:latin typeface="+mn-lt"/>
                  <a:ea typeface="+mn-ea"/>
                  <a:cs typeface="+mn-cs"/>
                </a:defRPr>
              </a:pPr>
              <a:endParaRPr lang="fr-FR"/>
            </a:p>
          </c:txPr>
          <c:showLegendKey val="0"/>
          <c:showVal val="0"/>
          <c:showCatName val="0"/>
          <c:showSerName val="0"/>
          <c:showPercent val="0"/>
          <c:showBubbleSize val="0"/>
          <c:extLst>
            <c:ext xmlns:c15="http://schemas.microsoft.com/office/drawing/2012/chart" uri="{CE6537A1-D6FC-4f65-9D91-7224C49458BB}"/>
          </c:extLst>
        </c:dLbl>
      </c:pivotFmt>
      <c:pivotFmt>
        <c:idx val="31"/>
        <c:spPr>
          <a:no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dk1">
                      <a:lumMod val="75000"/>
                      <a:lumOff val="25000"/>
                    </a:schemeClr>
                  </a:solidFill>
                  <a:latin typeface="+mn-lt"/>
                  <a:ea typeface="+mn-ea"/>
                  <a:cs typeface="+mn-cs"/>
                </a:defRPr>
              </a:pPr>
              <a:endParaRPr lang="fr-FR"/>
            </a:p>
          </c:txPr>
          <c:showLegendKey val="0"/>
          <c:showVal val="0"/>
          <c:showCatName val="0"/>
          <c:showSerName val="0"/>
          <c:showPercent val="0"/>
          <c:showBubbleSize val="0"/>
          <c:extLst>
            <c:ext xmlns:c15="http://schemas.microsoft.com/office/drawing/2012/chart" uri="{CE6537A1-D6FC-4f65-9D91-7224C49458BB}"/>
          </c:extLst>
        </c:dLbl>
      </c:pivotFmt>
      <c:pivotFmt>
        <c:idx val="32"/>
        <c:spPr>
          <a:no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dk1">
                      <a:lumMod val="75000"/>
                      <a:lumOff val="25000"/>
                    </a:schemeClr>
                  </a:solidFill>
                  <a:latin typeface="+mn-lt"/>
                  <a:ea typeface="+mn-ea"/>
                  <a:cs typeface="+mn-cs"/>
                </a:defRPr>
              </a:pPr>
              <a:endParaRPr lang="fr-FR"/>
            </a:p>
          </c:txPr>
          <c:showLegendKey val="0"/>
          <c:showVal val="0"/>
          <c:showCatName val="0"/>
          <c:showSerName val="0"/>
          <c:showPercent val="0"/>
          <c:showBubbleSize val="0"/>
          <c:extLst>
            <c:ext xmlns:c15="http://schemas.microsoft.com/office/drawing/2012/chart" uri="{CE6537A1-D6FC-4f65-9D91-7224C49458BB}"/>
          </c:extLst>
        </c:dLbl>
      </c:pivotFmt>
      <c:pivotFmt>
        <c:idx val="33"/>
        <c:spPr>
          <a:no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dk1">
                      <a:lumMod val="75000"/>
                      <a:lumOff val="25000"/>
                    </a:schemeClr>
                  </a:solidFill>
                  <a:latin typeface="+mn-lt"/>
                  <a:ea typeface="+mn-ea"/>
                  <a:cs typeface="+mn-cs"/>
                </a:defRPr>
              </a:pPr>
              <a:endParaRPr lang="fr-FR"/>
            </a:p>
          </c:txPr>
          <c:showLegendKey val="0"/>
          <c:showVal val="0"/>
          <c:showCatName val="0"/>
          <c:showSerName val="0"/>
          <c:showPercent val="0"/>
          <c:showBubbleSize val="0"/>
          <c:extLst>
            <c:ext xmlns:c15="http://schemas.microsoft.com/office/drawing/2012/chart" uri="{CE6537A1-D6FC-4f65-9D91-7224C49458BB}"/>
          </c:extLst>
        </c:dLbl>
      </c:pivotFmt>
      <c:pivotFmt>
        <c:idx val="34"/>
        <c:spPr>
          <a:no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dk1">
                      <a:lumMod val="75000"/>
                      <a:lumOff val="25000"/>
                    </a:schemeClr>
                  </a:solidFill>
                  <a:latin typeface="+mn-lt"/>
                  <a:ea typeface="+mn-ea"/>
                  <a:cs typeface="+mn-cs"/>
                </a:defRPr>
              </a:pPr>
              <a:endParaRPr lang="fr-FR"/>
            </a:p>
          </c:txPr>
          <c:showLegendKey val="0"/>
          <c:showVal val="0"/>
          <c:showCatName val="0"/>
          <c:showSerName val="0"/>
          <c:showPercent val="0"/>
          <c:showBubbleSize val="0"/>
          <c:extLst>
            <c:ext xmlns:c15="http://schemas.microsoft.com/office/drawing/2012/chart" uri="{CE6537A1-D6FC-4f65-9D91-7224C49458BB}"/>
          </c:extLst>
        </c:dLbl>
      </c:pivotFmt>
    </c:pivotFmts>
    <c:plotArea>
      <c:layout>
        <c:manualLayout>
          <c:layoutTarget val="inner"/>
          <c:xMode val="edge"/>
          <c:yMode val="edge"/>
          <c:x val="7.7204027777777781E-2"/>
          <c:y val="0.13042401960784314"/>
          <c:w val="0.8083366666666667"/>
          <c:h val="0.77516503267973857"/>
        </c:manualLayout>
      </c:layout>
      <c:barChart>
        <c:barDir val="col"/>
        <c:grouping val="clustered"/>
        <c:varyColors val="0"/>
        <c:ser>
          <c:idx val="2"/>
          <c:order val="2"/>
          <c:tx>
            <c:strRef>
              <c:f>'Calculs jour'!$D$14</c:f>
              <c:strCache>
                <c:ptCount val="1"/>
                <c:pt idx="0">
                  <c:v>Variationjour+ Table</c:v>
                </c:pt>
              </c:strCache>
            </c:strRef>
          </c:tx>
          <c:spPr>
            <a:pattFill prst="ltUpDiag">
              <a:fgClr>
                <a:srgbClr val="0070C0"/>
              </a:fgClr>
              <a:bgClr>
                <a:schemeClr val="bg1"/>
              </a:bgClr>
            </a:pattFill>
            <a:ln>
              <a:noFill/>
            </a:ln>
            <a:effectLst>
              <a:innerShdw blurRad="114300">
                <a:srgbClr val="0070C0"/>
              </a:innerShdw>
            </a:effectLst>
          </c:spPr>
          <c:invertIfNegative val="0"/>
          <c:dLbls>
            <c:numFmt formatCode="\+\ 0.00%;\-\ 0.00%;&quot;&quot;" sourceLinked="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dk1">
                        <a:lumMod val="75000"/>
                        <a:lumOff val="25000"/>
                      </a:schemeClr>
                    </a:solidFill>
                    <a:latin typeface="+mn-lt"/>
                    <a:ea typeface="+mn-ea"/>
                    <a:cs typeface="+mn-cs"/>
                  </a:defRPr>
                </a:pPr>
                <a:endParaRPr lang="fr-FR"/>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dk1">
                          <a:lumMod val="35000"/>
                          <a:lumOff val="65000"/>
                        </a:schemeClr>
                      </a:solidFill>
                      <a:round/>
                    </a:ln>
                    <a:effectLst/>
                  </c:spPr>
                </c15:leaderLines>
              </c:ext>
            </c:extLst>
          </c:dLbls>
          <c:cat>
            <c:strRef>
              <c:f>'Calculs jour'!$A$15:$A$16</c:f>
              <c:strCache>
                <c:ptCount val="1"/>
                <c:pt idx="0">
                  <c:v>21/02/2020 08:34</c:v>
                </c:pt>
              </c:strCache>
            </c:strRef>
          </c:cat>
          <c:val>
            <c:numRef>
              <c:f>'Calculs jour'!$D$15:$D$16</c:f>
              <c:numCache>
                <c:formatCode>0.00%</c:formatCode>
                <c:ptCount val="1"/>
                <c:pt idx="0">
                  <c:v>5.0273581817325671E-4</c:v>
                </c:pt>
              </c:numCache>
            </c:numRef>
          </c:val>
          <c:extLst>
            <c:ext xmlns:c16="http://schemas.microsoft.com/office/drawing/2014/chart" uri="{C3380CC4-5D6E-409C-BE32-E72D297353CC}">
              <c16:uniqueId val="{00000002-80B8-48F4-9DE6-D3295AE06861}"/>
            </c:ext>
          </c:extLst>
        </c:ser>
        <c:ser>
          <c:idx val="3"/>
          <c:order val="3"/>
          <c:tx>
            <c:strRef>
              <c:f>'Calculs jour'!$E$14</c:f>
              <c:strCache>
                <c:ptCount val="1"/>
                <c:pt idx="0">
                  <c:v>Variationjour- Table</c:v>
                </c:pt>
              </c:strCache>
            </c:strRef>
          </c:tx>
          <c:spPr>
            <a:pattFill prst="ltUpDiag">
              <a:fgClr>
                <a:srgbClr val="C00000"/>
              </a:fgClr>
              <a:bgClr>
                <a:schemeClr val="bg1"/>
              </a:bgClr>
            </a:pattFill>
            <a:ln>
              <a:noFill/>
            </a:ln>
            <a:effectLst>
              <a:innerShdw blurRad="114300">
                <a:srgbClr val="C00000"/>
              </a:innerShdw>
            </a:effectLst>
          </c:spPr>
          <c:invertIfNegative val="0"/>
          <c:dLbls>
            <c:numFmt formatCode="\+\ 0.00%;\-\ 0.00%;&quot;&quot;" sourceLinked="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dk1">
                        <a:lumMod val="75000"/>
                        <a:lumOff val="25000"/>
                      </a:schemeClr>
                    </a:solidFill>
                    <a:latin typeface="+mn-lt"/>
                    <a:ea typeface="+mn-ea"/>
                    <a:cs typeface="+mn-cs"/>
                  </a:defRPr>
                </a:pPr>
                <a:endParaRPr lang="fr-FR"/>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dk1">
                          <a:lumMod val="35000"/>
                          <a:lumOff val="65000"/>
                        </a:schemeClr>
                      </a:solidFill>
                      <a:round/>
                    </a:ln>
                    <a:effectLst/>
                  </c:spPr>
                </c15:leaderLines>
              </c:ext>
            </c:extLst>
          </c:dLbls>
          <c:cat>
            <c:strRef>
              <c:f>'Calculs jour'!$A$15:$A$16</c:f>
              <c:strCache>
                <c:ptCount val="1"/>
                <c:pt idx="0">
                  <c:v>21/02/2020 08:34</c:v>
                </c:pt>
              </c:strCache>
            </c:strRef>
          </c:cat>
          <c:val>
            <c:numRef>
              <c:f>'Calculs jour'!$E$15:$E$16</c:f>
              <c:numCache>
                <c:formatCode>0.00%</c:formatCode>
                <c:ptCount val="1"/>
                <c:pt idx="0">
                  <c:v>0</c:v>
                </c:pt>
              </c:numCache>
            </c:numRef>
          </c:val>
          <c:extLst>
            <c:ext xmlns:c16="http://schemas.microsoft.com/office/drawing/2014/chart" uri="{C3380CC4-5D6E-409C-BE32-E72D297353CC}">
              <c16:uniqueId val="{00000003-80B8-48F4-9DE6-D3295AE06861}"/>
            </c:ext>
          </c:extLst>
        </c:ser>
        <c:dLbls>
          <c:showLegendKey val="0"/>
          <c:showVal val="0"/>
          <c:showCatName val="0"/>
          <c:showSerName val="0"/>
          <c:showPercent val="0"/>
          <c:showBubbleSize val="0"/>
        </c:dLbls>
        <c:gapWidth val="247"/>
        <c:overlap val="100"/>
        <c:axId val="1914152048"/>
        <c:axId val="1956627888"/>
      </c:barChart>
      <c:barChart>
        <c:barDir val="col"/>
        <c:grouping val="clustered"/>
        <c:varyColors val="0"/>
        <c:ser>
          <c:idx val="0"/>
          <c:order val="0"/>
          <c:tx>
            <c:strRef>
              <c:f>'Calculs jour'!$B$14</c:f>
              <c:strCache>
                <c:ptCount val="1"/>
                <c:pt idx="0">
                  <c:v>Somme de Points</c:v>
                </c:pt>
              </c:strCache>
            </c:strRef>
          </c:tx>
          <c:spPr>
            <a:noFill/>
            <a:ln>
              <a:noFill/>
            </a:ln>
            <a:effectLst>
              <a:innerShdw blurRad="114300">
                <a:srgbClr val="0070C0"/>
              </a:innerShdw>
            </a:effectLst>
          </c:spPr>
          <c:invertIfNegative val="0"/>
          <c:cat>
            <c:strRef>
              <c:f>'Calculs jour'!$A$15:$A$16</c:f>
              <c:strCache>
                <c:ptCount val="1"/>
                <c:pt idx="0">
                  <c:v>21/02/2020 08:34</c:v>
                </c:pt>
              </c:strCache>
            </c:strRef>
          </c:cat>
          <c:val>
            <c:numRef>
              <c:f>'Calculs jour'!$B$15:$B$16</c:f>
              <c:numCache>
                <c:formatCode>General</c:formatCode>
                <c:ptCount val="1"/>
                <c:pt idx="0">
                  <c:v>1</c:v>
                </c:pt>
              </c:numCache>
            </c:numRef>
          </c:val>
          <c:extLst>
            <c:ext xmlns:c16="http://schemas.microsoft.com/office/drawing/2014/chart" uri="{C3380CC4-5D6E-409C-BE32-E72D297353CC}">
              <c16:uniqueId val="{00000002-D1FA-41E4-8A14-C3C1147AEA42}"/>
            </c:ext>
          </c:extLst>
        </c:ser>
        <c:ser>
          <c:idx val="1"/>
          <c:order val="1"/>
          <c:tx>
            <c:strRef>
              <c:f>'Calculs jour'!$C$14</c:f>
              <c:strCache>
                <c:ptCount val="1"/>
                <c:pt idx="0">
                  <c:v>Points cumulés</c:v>
                </c:pt>
              </c:strCache>
            </c:strRef>
          </c:tx>
          <c:spPr>
            <a:noFill/>
            <a:ln>
              <a:noFill/>
            </a:ln>
            <a:effectLst>
              <a:innerShdw blurRad="114300">
                <a:srgbClr val="C00000"/>
              </a:innerShdw>
            </a:effectLst>
          </c:spPr>
          <c:invertIfNegative val="0"/>
          <c:cat>
            <c:strRef>
              <c:f>'Calculs jour'!$A$15:$A$16</c:f>
              <c:strCache>
                <c:ptCount val="1"/>
                <c:pt idx="0">
                  <c:v>21/02/2020 08:34</c:v>
                </c:pt>
              </c:strCache>
            </c:strRef>
          </c:cat>
          <c:val>
            <c:numRef>
              <c:f>'Calculs jour'!$C$15:$C$16</c:f>
              <c:numCache>
                <c:formatCode>General</c:formatCode>
                <c:ptCount val="1"/>
                <c:pt idx="0">
                  <c:v>1</c:v>
                </c:pt>
              </c:numCache>
            </c:numRef>
          </c:val>
          <c:extLst>
            <c:ext xmlns:c16="http://schemas.microsoft.com/office/drawing/2014/chart" uri="{C3380CC4-5D6E-409C-BE32-E72D297353CC}">
              <c16:uniqueId val="{00000006-D1FA-41E4-8A14-C3C1147AEA42}"/>
            </c:ext>
          </c:extLst>
        </c:ser>
        <c:ser>
          <c:idx val="4"/>
          <c:order val="4"/>
          <c:tx>
            <c:strRef>
              <c:f>'Calculs jour'!$F$14</c:f>
              <c:strCache>
                <c:ptCount val="1"/>
                <c:pt idx="0">
                  <c:v>Min. de Drawdown</c:v>
                </c:pt>
              </c:strCache>
            </c:strRef>
          </c:tx>
          <c:spPr>
            <a:noFill/>
            <a:ln>
              <a:noFill/>
            </a:ln>
            <a:effectLst/>
          </c:spPr>
          <c:invertIfNegative val="0"/>
          <c:cat>
            <c:strRef>
              <c:f>'Calculs jour'!$A$15:$A$16</c:f>
              <c:strCache>
                <c:ptCount val="1"/>
                <c:pt idx="0">
                  <c:v>21/02/2020 08:34</c:v>
                </c:pt>
              </c:strCache>
            </c:strRef>
          </c:cat>
          <c:val>
            <c:numRef>
              <c:f>'Calculs jour'!$F$15:$F$16</c:f>
              <c:numCache>
                <c:formatCode>0.00%</c:formatCode>
                <c:ptCount val="1"/>
                <c:pt idx="0">
                  <c:v>0</c:v>
                </c:pt>
              </c:numCache>
            </c:numRef>
          </c:val>
          <c:extLst>
            <c:ext xmlns:c16="http://schemas.microsoft.com/office/drawing/2014/chart" uri="{C3380CC4-5D6E-409C-BE32-E72D297353CC}">
              <c16:uniqueId val="{00000004-80B8-48F4-9DE6-D3295AE06861}"/>
            </c:ext>
          </c:extLst>
        </c:ser>
        <c:ser>
          <c:idx val="5"/>
          <c:order val="5"/>
          <c:tx>
            <c:strRef>
              <c:f>'Calculs jour'!$G$14</c:f>
              <c:strCache>
                <c:ptCount val="1"/>
                <c:pt idx="0">
                  <c:v>Conforme </c:v>
                </c:pt>
              </c:strCache>
            </c:strRef>
          </c:tx>
          <c:spPr>
            <a:solidFill>
              <a:srgbClr val="0070C0">
                <a:alpha val="15000"/>
              </a:srgbClr>
            </a:solidFill>
            <a:ln>
              <a:noFill/>
            </a:ln>
            <a:effectLst/>
          </c:spPr>
          <c:invertIfNegative val="0"/>
          <c:cat>
            <c:strRef>
              <c:f>'Calculs jour'!$A$15:$A$16</c:f>
              <c:strCache>
                <c:ptCount val="1"/>
                <c:pt idx="0">
                  <c:v>21/02/2020 08:34</c:v>
                </c:pt>
              </c:strCache>
            </c:strRef>
          </c:cat>
          <c:val>
            <c:numRef>
              <c:f>'Calculs jour'!$G$15:$G$16</c:f>
              <c:numCache>
                <c:formatCode>General</c:formatCode>
                <c:ptCount val="1"/>
                <c:pt idx="0">
                  <c:v>1</c:v>
                </c:pt>
              </c:numCache>
            </c:numRef>
          </c:val>
          <c:extLst>
            <c:ext xmlns:c16="http://schemas.microsoft.com/office/drawing/2014/chart" uri="{C3380CC4-5D6E-409C-BE32-E72D297353CC}">
              <c16:uniqueId val="{00000005-80B8-48F4-9DE6-D3295AE06861}"/>
            </c:ext>
          </c:extLst>
        </c:ser>
        <c:ser>
          <c:idx val="6"/>
          <c:order val="6"/>
          <c:tx>
            <c:strRef>
              <c:f>'Calculs jour'!$H$14</c:f>
              <c:strCache>
                <c:ptCount val="1"/>
                <c:pt idx="0">
                  <c:v>Non conforme </c:v>
                </c:pt>
              </c:strCache>
            </c:strRef>
          </c:tx>
          <c:spPr>
            <a:solidFill>
              <a:srgbClr val="C00000">
                <a:alpha val="15000"/>
              </a:srgbClr>
            </a:solidFill>
            <a:ln>
              <a:noFill/>
            </a:ln>
            <a:effectLst/>
          </c:spPr>
          <c:invertIfNegative val="0"/>
          <c:cat>
            <c:strRef>
              <c:f>'Calculs jour'!$A$15:$A$16</c:f>
              <c:strCache>
                <c:ptCount val="1"/>
                <c:pt idx="0">
                  <c:v>21/02/2020 08:34</c:v>
                </c:pt>
              </c:strCache>
            </c:strRef>
          </c:cat>
          <c:val>
            <c:numRef>
              <c:f>'Calculs jour'!$H$15:$H$16</c:f>
              <c:numCache>
                <c:formatCode>General</c:formatCode>
                <c:ptCount val="1"/>
                <c:pt idx="0">
                  <c:v>0</c:v>
                </c:pt>
              </c:numCache>
            </c:numRef>
          </c:val>
          <c:extLst>
            <c:ext xmlns:c16="http://schemas.microsoft.com/office/drawing/2014/chart" uri="{C3380CC4-5D6E-409C-BE32-E72D297353CC}">
              <c16:uniqueId val="{00000006-80B8-48F4-9DE6-D3295AE06861}"/>
            </c:ext>
          </c:extLst>
        </c:ser>
        <c:ser>
          <c:idx val="7"/>
          <c:order val="7"/>
          <c:tx>
            <c:strRef>
              <c:f>'Calculs jour'!$I$14</c:f>
              <c:strCache>
                <c:ptCount val="1"/>
                <c:pt idx="0">
                  <c:v>Somme de Gagnant</c:v>
                </c:pt>
              </c:strCache>
            </c:strRef>
          </c:tx>
          <c:spPr>
            <a:noFill/>
            <a:ln>
              <a:noFill/>
            </a:ln>
            <a:effectLst/>
          </c:spPr>
          <c:invertIfNegative val="0"/>
          <c:cat>
            <c:strRef>
              <c:f>'Calculs jour'!$A$15:$A$16</c:f>
              <c:strCache>
                <c:ptCount val="1"/>
                <c:pt idx="0">
                  <c:v>21/02/2020 08:34</c:v>
                </c:pt>
              </c:strCache>
            </c:strRef>
          </c:cat>
          <c:val>
            <c:numRef>
              <c:f>'Calculs jour'!$I$15:$I$16</c:f>
              <c:numCache>
                <c:formatCode>General</c:formatCode>
                <c:ptCount val="1"/>
                <c:pt idx="0">
                  <c:v>1</c:v>
                </c:pt>
              </c:numCache>
            </c:numRef>
          </c:val>
          <c:extLst>
            <c:ext xmlns:c16="http://schemas.microsoft.com/office/drawing/2014/chart" uri="{C3380CC4-5D6E-409C-BE32-E72D297353CC}">
              <c16:uniqueId val="{00000007-80B8-48F4-9DE6-D3295AE06861}"/>
            </c:ext>
          </c:extLst>
        </c:ser>
        <c:ser>
          <c:idx val="8"/>
          <c:order val="8"/>
          <c:tx>
            <c:strRef>
              <c:f>'Calculs jour'!$J$14</c:f>
              <c:strCache>
                <c:ptCount val="1"/>
                <c:pt idx="0">
                  <c:v>Somme de Perdant</c:v>
                </c:pt>
              </c:strCache>
            </c:strRef>
          </c:tx>
          <c:spPr>
            <a:noFill/>
            <a:ln>
              <a:noFill/>
            </a:ln>
            <a:effectLst/>
          </c:spPr>
          <c:invertIfNegative val="0"/>
          <c:cat>
            <c:strRef>
              <c:f>'Calculs jour'!$A$15:$A$16</c:f>
              <c:strCache>
                <c:ptCount val="1"/>
                <c:pt idx="0">
                  <c:v>21/02/2020 08:34</c:v>
                </c:pt>
              </c:strCache>
            </c:strRef>
          </c:cat>
          <c:val>
            <c:numRef>
              <c:f>'Calculs jour'!$J$15:$J$16</c:f>
              <c:numCache>
                <c:formatCode>General</c:formatCode>
                <c:ptCount val="1"/>
                <c:pt idx="0">
                  <c:v>0</c:v>
                </c:pt>
              </c:numCache>
            </c:numRef>
          </c:val>
          <c:extLst>
            <c:ext xmlns:c16="http://schemas.microsoft.com/office/drawing/2014/chart" uri="{C3380CC4-5D6E-409C-BE32-E72D297353CC}">
              <c16:uniqueId val="{00000008-80B8-48F4-9DE6-D3295AE06861}"/>
            </c:ext>
          </c:extLst>
        </c:ser>
        <c:ser>
          <c:idx val="9"/>
          <c:order val="9"/>
          <c:tx>
            <c:strRef>
              <c:f>'Calculs jour'!$K$14</c:f>
              <c:strCache>
                <c:ptCount val="1"/>
                <c:pt idx="0">
                  <c:v>Nombre de Résultat</c:v>
                </c:pt>
              </c:strCache>
            </c:strRef>
          </c:tx>
          <c:spPr>
            <a:noFill/>
            <a:ln>
              <a:noFill/>
            </a:ln>
            <a:effectLst/>
          </c:spPr>
          <c:invertIfNegative val="0"/>
          <c:cat>
            <c:strRef>
              <c:f>'Calculs jour'!$A$15:$A$16</c:f>
              <c:strCache>
                <c:ptCount val="1"/>
                <c:pt idx="0">
                  <c:v>21/02/2020 08:34</c:v>
                </c:pt>
              </c:strCache>
            </c:strRef>
          </c:cat>
          <c:val>
            <c:numRef>
              <c:f>'Calculs jour'!$K$15:$K$16</c:f>
              <c:numCache>
                <c:formatCode>General</c:formatCode>
                <c:ptCount val="1"/>
                <c:pt idx="0">
                  <c:v>1</c:v>
                </c:pt>
              </c:numCache>
            </c:numRef>
          </c:val>
          <c:extLst>
            <c:ext xmlns:c16="http://schemas.microsoft.com/office/drawing/2014/chart" uri="{C3380CC4-5D6E-409C-BE32-E72D297353CC}">
              <c16:uniqueId val="{00000009-80B8-48F4-9DE6-D3295AE06861}"/>
            </c:ext>
          </c:extLst>
        </c:ser>
        <c:ser>
          <c:idx val="10"/>
          <c:order val="10"/>
          <c:tx>
            <c:strRef>
              <c:f>'Calculs jour'!$L$14</c:f>
              <c:strCache>
                <c:ptCount val="1"/>
                <c:pt idx="0">
                  <c:v>Somme de Points Gagnant</c:v>
                </c:pt>
              </c:strCache>
            </c:strRef>
          </c:tx>
          <c:spPr>
            <a:noFill/>
            <a:ln>
              <a:noFill/>
            </a:ln>
            <a:effectLst>
              <a:innerShdw blurRad="114300">
                <a:srgbClr val="0070C0"/>
              </a:innerShdw>
            </a:effectLst>
          </c:spPr>
          <c:invertIfNegative val="0"/>
          <c:cat>
            <c:strRef>
              <c:f>'Calculs jour'!$A$15:$A$16</c:f>
              <c:strCache>
                <c:ptCount val="1"/>
                <c:pt idx="0">
                  <c:v>21/02/2020 08:34</c:v>
                </c:pt>
              </c:strCache>
            </c:strRef>
          </c:cat>
          <c:val>
            <c:numRef>
              <c:f>'Calculs jour'!$L$15:$L$16</c:f>
              <c:numCache>
                <c:formatCode>General</c:formatCode>
                <c:ptCount val="1"/>
                <c:pt idx="0">
                  <c:v>1</c:v>
                </c:pt>
              </c:numCache>
            </c:numRef>
          </c:val>
          <c:extLst>
            <c:ext xmlns:c16="http://schemas.microsoft.com/office/drawing/2014/chart" uri="{C3380CC4-5D6E-409C-BE32-E72D297353CC}">
              <c16:uniqueId val="{0000000A-80B8-48F4-9DE6-D3295AE06861}"/>
            </c:ext>
          </c:extLst>
        </c:ser>
        <c:ser>
          <c:idx val="11"/>
          <c:order val="11"/>
          <c:tx>
            <c:strRef>
              <c:f>'Calculs jour'!$M$14</c:f>
              <c:strCache>
                <c:ptCount val="1"/>
                <c:pt idx="0">
                  <c:v>Somme de Points perdants</c:v>
                </c:pt>
              </c:strCache>
            </c:strRef>
          </c:tx>
          <c:spPr>
            <a:noFill/>
            <a:ln>
              <a:noFill/>
            </a:ln>
            <a:effectLst/>
          </c:spPr>
          <c:invertIfNegative val="0"/>
          <c:cat>
            <c:strRef>
              <c:f>'Calculs jour'!$A$15:$A$16</c:f>
              <c:strCache>
                <c:ptCount val="1"/>
                <c:pt idx="0">
                  <c:v>21/02/2020 08:34</c:v>
                </c:pt>
              </c:strCache>
            </c:strRef>
          </c:cat>
          <c:val>
            <c:numRef>
              <c:f>'Calculs jour'!$M$15:$M$16</c:f>
              <c:numCache>
                <c:formatCode>General</c:formatCode>
                <c:ptCount val="1"/>
                <c:pt idx="0">
                  <c:v>0</c:v>
                </c:pt>
              </c:numCache>
            </c:numRef>
          </c:val>
          <c:extLst>
            <c:ext xmlns:c16="http://schemas.microsoft.com/office/drawing/2014/chart" uri="{C3380CC4-5D6E-409C-BE32-E72D297353CC}">
              <c16:uniqueId val="{0000000B-80B8-48F4-9DE6-D3295AE06861}"/>
            </c:ext>
          </c:extLst>
        </c:ser>
        <c:ser>
          <c:idx val="12"/>
          <c:order val="12"/>
          <c:tx>
            <c:strRef>
              <c:f>'Calculs jour'!$N$14</c:f>
              <c:strCache>
                <c:ptCount val="1"/>
                <c:pt idx="0">
                  <c:v>Moyenne de Points Gagnant</c:v>
                </c:pt>
              </c:strCache>
            </c:strRef>
          </c:tx>
          <c:spPr>
            <a:noFill/>
            <a:ln>
              <a:noFill/>
            </a:ln>
            <a:effectLst>
              <a:innerShdw blurRad="114300">
                <a:srgbClr val="0070C0"/>
              </a:innerShdw>
            </a:effectLst>
          </c:spPr>
          <c:invertIfNegative val="0"/>
          <c:cat>
            <c:strRef>
              <c:f>'Calculs jour'!$A$15:$A$16</c:f>
              <c:strCache>
                <c:ptCount val="1"/>
                <c:pt idx="0">
                  <c:v>21/02/2020 08:34</c:v>
                </c:pt>
              </c:strCache>
            </c:strRef>
          </c:cat>
          <c:val>
            <c:numRef>
              <c:f>'Calculs jour'!$N$15:$N$16</c:f>
              <c:numCache>
                <c:formatCode>General</c:formatCode>
                <c:ptCount val="1"/>
                <c:pt idx="0">
                  <c:v>1</c:v>
                </c:pt>
              </c:numCache>
            </c:numRef>
          </c:val>
          <c:extLst>
            <c:ext xmlns:c16="http://schemas.microsoft.com/office/drawing/2014/chart" uri="{C3380CC4-5D6E-409C-BE32-E72D297353CC}">
              <c16:uniqueId val="{0000000C-80B8-48F4-9DE6-D3295AE06861}"/>
            </c:ext>
          </c:extLst>
        </c:ser>
        <c:ser>
          <c:idx val="13"/>
          <c:order val="13"/>
          <c:tx>
            <c:strRef>
              <c:f>'Calculs jour'!$O$14</c:f>
              <c:strCache>
                <c:ptCount val="1"/>
                <c:pt idx="0">
                  <c:v>Moyenne de Points perdants</c:v>
                </c:pt>
              </c:strCache>
            </c:strRef>
          </c:tx>
          <c:spPr>
            <a:noFill/>
            <a:ln>
              <a:noFill/>
            </a:ln>
            <a:effectLst/>
          </c:spPr>
          <c:invertIfNegative val="0"/>
          <c:cat>
            <c:strRef>
              <c:f>'Calculs jour'!$A$15:$A$16</c:f>
              <c:strCache>
                <c:ptCount val="1"/>
                <c:pt idx="0">
                  <c:v>21/02/2020 08:34</c:v>
                </c:pt>
              </c:strCache>
            </c:strRef>
          </c:cat>
          <c:val>
            <c:numRef>
              <c:f>'Calculs jour'!$O$15:$O$16</c:f>
              <c:numCache>
                <c:formatCode>General</c:formatCode>
                <c:ptCount val="1"/>
                <c:pt idx="0">
                  <c:v>#N/A</c:v>
                </c:pt>
              </c:numCache>
            </c:numRef>
          </c:val>
          <c:extLst>
            <c:ext xmlns:c16="http://schemas.microsoft.com/office/drawing/2014/chart" uri="{C3380CC4-5D6E-409C-BE32-E72D297353CC}">
              <c16:uniqueId val="{0000000D-80B8-48F4-9DE6-D3295AE06861}"/>
            </c:ext>
          </c:extLst>
        </c:ser>
        <c:ser>
          <c:idx val="14"/>
          <c:order val="14"/>
          <c:tx>
            <c:strRef>
              <c:f>'Calculs jour'!$P$14</c:f>
              <c:strCache>
                <c:ptCount val="1"/>
                <c:pt idx="0">
                  <c:v>Min. de Points Gagnant</c:v>
                </c:pt>
              </c:strCache>
            </c:strRef>
          </c:tx>
          <c:spPr>
            <a:noFill/>
            <a:ln>
              <a:noFill/>
            </a:ln>
            <a:effectLst/>
          </c:spPr>
          <c:invertIfNegative val="0"/>
          <c:cat>
            <c:strRef>
              <c:f>'Calculs jour'!$A$15:$A$16</c:f>
              <c:strCache>
                <c:ptCount val="1"/>
                <c:pt idx="0">
                  <c:v>21/02/2020 08:34</c:v>
                </c:pt>
              </c:strCache>
            </c:strRef>
          </c:cat>
          <c:val>
            <c:numRef>
              <c:f>'Calculs jour'!$P$15:$P$16</c:f>
              <c:numCache>
                <c:formatCode>General</c:formatCode>
                <c:ptCount val="1"/>
                <c:pt idx="0">
                  <c:v>1</c:v>
                </c:pt>
              </c:numCache>
            </c:numRef>
          </c:val>
          <c:extLst>
            <c:ext xmlns:c16="http://schemas.microsoft.com/office/drawing/2014/chart" uri="{C3380CC4-5D6E-409C-BE32-E72D297353CC}">
              <c16:uniqueId val="{0000000E-80B8-48F4-9DE6-D3295AE06861}"/>
            </c:ext>
          </c:extLst>
        </c:ser>
        <c:ser>
          <c:idx val="15"/>
          <c:order val="15"/>
          <c:tx>
            <c:strRef>
              <c:f>'Calculs jour'!$Q$14</c:f>
              <c:strCache>
                <c:ptCount val="1"/>
                <c:pt idx="0">
                  <c:v>Min. de Points perdants</c:v>
                </c:pt>
              </c:strCache>
            </c:strRef>
          </c:tx>
          <c:spPr>
            <a:noFill/>
            <a:ln>
              <a:noFill/>
            </a:ln>
            <a:effectLst/>
          </c:spPr>
          <c:invertIfNegative val="0"/>
          <c:cat>
            <c:strRef>
              <c:f>'Calculs jour'!$A$15:$A$16</c:f>
              <c:strCache>
                <c:ptCount val="1"/>
                <c:pt idx="0">
                  <c:v>21/02/2020 08:34</c:v>
                </c:pt>
              </c:strCache>
            </c:strRef>
          </c:cat>
          <c:val>
            <c:numRef>
              <c:f>'Calculs jour'!$Q$15:$Q$16</c:f>
              <c:numCache>
                <c:formatCode>General</c:formatCode>
                <c:ptCount val="1"/>
                <c:pt idx="0">
                  <c:v>0</c:v>
                </c:pt>
              </c:numCache>
            </c:numRef>
          </c:val>
          <c:extLst>
            <c:ext xmlns:c16="http://schemas.microsoft.com/office/drawing/2014/chart" uri="{C3380CC4-5D6E-409C-BE32-E72D297353CC}">
              <c16:uniqueId val="{0000000F-80B8-48F4-9DE6-D3295AE06861}"/>
            </c:ext>
          </c:extLst>
        </c:ser>
        <c:ser>
          <c:idx val="16"/>
          <c:order val="16"/>
          <c:tx>
            <c:strRef>
              <c:f>'Calculs jour'!$R$14</c:f>
              <c:strCache>
                <c:ptCount val="1"/>
                <c:pt idx="0">
                  <c:v>Max. de Points Gagnant</c:v>
                </c:pt>
              </c:strCache>
            </c:strRef>
          </c:tx>
          <c:spPr>
            <a:noFill/>
            <a:ln>
              <a:noFill/>
            </a:ln>
            <a:effectLst/>
          </c:spPr>
          <c:invertIfNegative val="0"/>
          <c:cat>
            <c:strRef>
              <c:f>'Calculs jour'!$A$15:$A$16</c:f>
              <c:strCache>
                <c:ptCount val="1"/>
                <c:pt idx="0">
                  <c:v>21/02/2020 08:34</c:v>
                </c:pt>
              </c:strCache>
            </c:strRef>
          </c:cat>
          <c:val>
            <c:numRef>
              <c:f>'Calculs jour'!$R$15:$R$16</c:f>
              <c:numCache>
                <c:formatCode>General</c:formatCode>
                <c:ptCount val="1"/>
                <c:pt idx="0">
                  <c:v>1</c:v>
                </c:pt>
              </c:numCache>
            </c:numRef>
          </c:val>
          <c:extLst>
            <c:ext xmlns:c16="http://schemas.microsoft.com/office/drawing/2014/chart" uri="{C3380CC4-5D6E-409C-BE32-E72D297353CC}">
              <c16:uniqueId val="{00000010-80B8-48F4-9DE6-D3295AE06861}"/>
            </c:ext>
          </c:extLst>
        </c:ser>
        <c:ser>
          <c:idx val="17"/>
          <c:order val="17"/>
          <c:tx>
            <c:strRef>
              <c:f>'Calculs jour'!$S$14</c:f>
              <c:strCache>
                <c:ptCount val="1"/>
                <c:pt idx="0">
                  <c:v>Max. de Points perdants</c:v>
                </c:pt>
              </c:strCache>
            </c:strRef>
          </c:tx>
          <c:spPr>
            <a:noFill/>
            <a:ln>
              <a:noFill/>
            </a:ln>
            <a:effectLst/>
          </c:spPr>
          <c:invertIfNegative val="0"/>
          <c:cat>
            <c:strRef>
              <c:f>'Calculs jour'!$A$15:$A$16</c:f>
              <c:strCache>
                <c:ptCount val="1"/>
                <c:pt idx="0">
                  <c:v>21/02/2020 08:34</c:v>
                </c:pt>
              </c:strCache>
            </c:strRef>
          </c:cat>
          <c:val>
            <c:numRef>
              <c:f>'Calculs jour'!$S$15:$S$16</c:f>
              <c:numCache>
                <c:formatCode>General</c:formatCode>
                <c:ptCount val="1"/>
                <c:pt idx="0">
                  <c:v>0</c:v>
                </c:pt>
              </c:numCache>
            </c:numRef>
          </c:val>
          <c:extLst>
            <c:ext xmlns:c16="http://schemas.microsoft.com/office/drawing/2014/chart" uri="{C3380CC4-5D6E-409C-BE32-E72D297353CC}">
              <c16:uniqueId val="{00000011-80B8-48F4-9DE6-D3295AE06861}"/>
            </c:ext>
          </c:extLst>
        </c:ser>
        <c:ser>
          <c:idx val="18"/>
          <c:order val="18"/>
          <c:tx>
            <c:strRef>
              <c:f>'Calculs jour'!$T$14</c:f>
              <c:strCache>
                <c:ptCount val="1"/>
                <c:pt idx="0">
                  <c:v>Moyenne de Note du trade</c:v>
                </c:pt>
              </c:strCache>
            </c:strRef>
          </c:tx>
          <c:spPr>
            <a:noFill/>
            <a:ln>
              <a:noFill/>
            </a:ln>
            <a:effectLst/>
          </c:spPr>
          <c:invertIfNegative val="0"/>
          <c:cat>
            <c:strRef>
              <c:f>'Calculs jour'!$A$15:$A$16</c:f>
              <c:strCache>
                <c:ptCount val="1"/>
                <c:pt idx="0">
                  <c:v>21/02/2020 08:34</c:v>
                </c:pt>
              </c:strCache>
            </c:strRef>
          </c:cat>
          <c:val>
            <c:numRef>
              <c:f>'Calculs jour'!$T$15:$T$16</c:f>
              <c:numCache>
                <c:formatCode>General</c:formatCode>
                <c:ptCount val="1"/>
                <c:pt idx="0">
                  <c:v>7</c:v>
                </c:pt>
              </c:numCache>
            </c:numRef>
          </c:val>
          <c:extLst>
            <c:ext xmlns:c16="http://schemas.microsoft.com/office/drawing/2014/chart" uri="{C3380CC4-5D6E-409C-BE32-E72D297353CC}">
              <c16:uniqueId val="{00000012-80B8-48F4-9DE6-D3295AE06861}"/>
            </c:ext>
          </c:extLst>
        </c:ser>
        <c:ser>
          <c:idx val="19"/>
          <c:order val="19"/>
          <c:tx>
            <c:strRef>
              <c:f>'Calculs jour'!$U$14</c:f>
              <c:strCache>
                <c:ptCount val="1"/>
                <c:pt idx="0">
                  <c:v>Somme de Levier</c:v>
                </c:pt>
              </c:strCache>
            </c:strRef>
          </c:tx>
          <c:spPr>
            <a:noFill/>
            <a:ln>
              <a:noFill/>
            </a:ln>
            <a:effectLst/>
          </c:spPr>
          <c:invertIfNegative val="0"/>
          <c:cat>
            <c:strRef>
              <c:f>'Calculs jour'!$A$15:$A$16</c:f>
              <c:strCache>
                <c:ptCount val="1"/>
                <c:pt idx="0">
                  <c:v>21/02/2020 08:34</c:v>
                </c:pt>
              </c:strCache>
            </c:strRef>
          </c:cat>
          <c:val>
            <c:numRef>
              <c:f>'Calculs jour'!$U$15:$U$16</c:f>
              <c:numCache>
                <c:formatCode>General</c:formatCode>
                <c:ptCount val="1"/>
                <c:pt idx="0">
                  <c:v>14.150954650860555</c:v>
                </c:pt>
              </c:numCache>
            </c:numRef>
          </c:val>
          <c:extLst>
            <c:ext xmlns:c16="http://schemas.microsoft.com/office/drawing/2014/chart" uri="{C3380CC4-5D6E-409C-BE32-E72D297353CC}">
              <c16:uniqueId val="{00000000-4252-4EA9-A4EB-1565AA33D78B}"/>
            </c:ext>
          </c:extLst>
        </c:ser>
        <c:dLbls>
          <c:showLegendKey val="0"/>
          <c:showVal val="0"/>
          <c:showCatName val="0"/>
          <c:showSerName val="0"/>
          <c:showPercent val="0"/>
          <c:showBubbleSize val="0"/>
        </c:dLbls>
        <c:gapWidth val="0"/>
        <c:overlap val="100"/>
        <c:axId val="1283343599"/>
        <c:axId val="1280382367"/>
      </c:barChart>
      <c:catAx>
        <c:axId val="1914152048"/>
        <c:scaling>
          <c:orientation val="minMax"/>
        </c:scaling>
        <c:delete val="1"/>
        <c:axPos val="b"/>
        <c:majorGridlines>
          <c:spPr>
            <a:ln w="9525" cap="flat" cmpd="sng" algn="ctr">
              <a:solidFill>
                <a:schemeClr val="dk1">
                  <a:lumMod val="15000"/>
                  <a:lumOff val="85000"/>
                </a:schemeClr>
              </a:solidFill>
              <a:round/>
            </a:ln>
            <a:effectLst/>
          </c:spPr>
        </c:majorGridlines>
        <c:numFmt formatCode="General" sourceLinked="1"/>
        <c:majorTickMark val="out"/>
        <c:minorTickMark val="none"/>
        <c:tickLblPos val="low"/>
        <c:crossAx val="1956627888"/>
        <c:crosses val="autoZero"/>
        <c:auto val="1"/>
        <c:lblAlgn val="ctr"/>
        <c:lblOffset val="100"/>
        <c:noMultiLvlLbl val="0"/>
      </c:catAx>
      <c:valAx>
        <c:axId val="1956627888"/>
        <c:scaling>
          <c:orientation val="minMax"/>
        </c:scaling>
        <c:delete val="0"/>
        <c:axPos val="l"/>
        <c:majorGridlines>
          <c:spPr>
            <a:ln w="9525" cap="flat" cmpd="sng" algn="ctr">
              <a:solidFill>
                <a:schemeClr val="dk1">
                  <a:lumMod val="15000"/>
                  <a:lumOff val="85000"/>
                </a:schemeClr>
              </a:solidFill>
              <a:round/>
            </a:ln>
            <a:effectLst/>
          </c:spPr>
        </c:majorGridlines>
        <c:numFmt formatCode="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dk1">
                    <a:lumMod val="65000"/>
                    <a:lumOff val="35000"/>
                  </a:schemeClr>
                </a:solidFill>
                <a:latin typeface="+mn-lt"/>
                <a:ea typeface="+mn-ea"/>
                <a:cs typeface="+mn-cs"/>
              </a:defRPr>
            </a:pPr>
            <a:endParaRPr lang="fr-FR"/>
          </a:p>
        </c:txPr>
        <c:crossAx val="1914152048"/>
        <c:crosses val="autoZero"/>
        <c:crossBetween val="between"/>
      </c:valAx>
      <c:valAx>
        <c:axId val="1280382367"/>
        <c:scaling>
          <c:orientation val="minMax"/>
          <c:max val="1"/>
          <c:min val="0"/>
        </c:scaling>
        <c:delete val="0"/>
        <c:axPos val="r"/>
        <c:numFmt formatCode="General" sourceLinked="1"/>
        <c:majorTickMark val="out"/>
        <c:minorTickMark val="none"/>
        <c:tickLblPos val="nextTo"/>
        <c:spPr>
          <a:noFill/>
          <a:ln>
            <a:noFill/>
          </a:ln>
          <a:effectLst/>
        </c:spPr>
        <c:txPr>
          <a:bodyPr rot="-60000000" spcFirstLastPara="1" vertOverflow="ellipsis" vert="horz" wrap="square" anchor="ctr" anchorCtr="1"/>
          <a:lstStyle/>
          <a:p>
            <a:pPr>
              <a:defRPr sz="900" b="0" i="0" u="none" strike="noStrike" kern="1200" baseline="0">
                <a:noFill/>
                <a:latin typeface="+mn-lt"/>
                <a:ea typeface="+mn-ea"/>
                <a:cs typeface="+mn-cs"/>
              </a:defRPr>
            </a:pPr>
            <a:endParaRPr lang="fr-FR"/>
          </a:p>
        </c:txPr>
        <c:crossAx val="1283343599"/>
        <c:crosses val="max"/>
        <c:crossBetween val="between"/>
      </c:valAx>
      <c:catAx>
        <c:axId val="1283343599"/>
        <c:scaling>
          <c:orientation val="minMax"/>
        </c:scaling>
        <c:delete val="1"/>
        <c:axPos val="b"/>
        <c:numFmt formatCode="General" sourceLinked="1"/>
        <c:majorTickMark val="out"/>
        <c:minorTickMark val="none"/>
        <c:tickLblPos val="nextTo"/>
        <c:crossAx val="1280382367"/>
        <c:crosses val="autoZero"/>
        <c:auto val="1"/>
        <c:lblAlgn val="ctr"/>
        <c:lblOffset val="100"/>
        <c:noMultiLvlLbl val="0"/>
      </c:catAx>
      <c:spPr>
        <a:pattFill prst="ltDnDiag">
          <a:fgClr>
            <a:schemeClr val="dk1">
              <a:lumMod val="15000"/>
              <a:lumOff val="85000"/>
            </a:schemeClr>
          </a:fgClr>
          <a:bgClr>
            <a:schemeClr val="lt1"/>
          </a:bgClr>
        </a:pattFill>
        <a:ln>
          <a:noFill/>
        </a:ln>
        <a:effectLst/>
      </c:spPr>
    </c:plotArea>
    <c:plotVisOnly val="1"/>
    <c:dispBlanksAs val="gap"/>
    <c:showDLblsOverMax val="0"/>
    <c:extLst/>
  </c:chart>
  <c:spPr>
    <a:noFill/>
    <a:ln w="9525" cap="flat" cmpd="sng" algn="ctr">
      <a:noFill/>
      <a:round/>
    </a:ln>
    <a:effectLst/>
  </c:spPr>
  <c:txPr>
    <a:bodyPr/>
    <a:lstStyle/>
    <a:p>
      <a:pPr>
        <a:defRPr/>
      </a:pPr>
      <a:endParaRPr lang="fr-FR"/>
    </a:p>
  </c:txPr>
  <c:printSettings>
    <c:headerFooter/>
    <c:pageMargins b="0.75" l="0.7" r="0.7" t="0.75" header="0.3" footer="0.3"/>
    <c:pageSetup/>
  </c:printSettings>
  <c:extLst>
    <c:ext xmlns:c14="http://schemas.microsoft.com/office/drawing/2007/8/2/chart" uri="{781A3756-C4B2-4CAC-9D66-4F8BD8637D16}">
      <c14:pivotOptions>
        <c14:dropZoneFilter val="1"/>
        <c14:dropZoneCategories val="1"/>
        <c14:dropZoneData val="1"/>
      </c14:pivotOptions>
    </c:ext>
    <c:ext xmlns:c16="http://schemas.microsoft.com/office/drawing/2014/chart" uri="{E28EC0CA-F0BB-4C9C-879D-F8772B89E7AC}">
      <c16:pivotOptions16>
        <c16:showExpandCollapseFieldButtons val="1"/>
      </c16:pivotOptions16>
    </c:ext>
  </c:extLst>
</c:chartSpace>
</file>

<file path=xl/charts/chart1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pivotSource>
    <c:name>[Journal V0.5.8.xlsm]Calculs jour!Tableau croisé dynamique2</c:name>
    <c:fmtId val="34"/>
  </c:pivotSource>
  <c:chart>
    <c:title>
      <c:tx>
        <c:rich>
          <a:bodyPr rot="0" spcFirstLastPara="1" vertOverflow="ellipsis" vert="horz" wrap="square" anchor="ctr" anchorCtr="1"/>
          <a:lstStyle/>
          <a:p>
            <a:pPr marL="0" marR="0" lvl="0" indent="0" algn="ctr" defTabSz="914400" rtl="0" eaLnBrk="1" fontAlgn="auto" latinLnBrk="0" hangingPunct="1">
              <a:lnSpc>
                <a:spcPct val="100000"/>
              </a:lnSpc>
              <a:spcBef>
                <a:spcPts val="0"/>
              </a:spcBef>
              <a:spcAft>
                <a:spcPts val="0"/>
              </a:spcAft>
              <a:buClrTx/>
              <a:buSzTx/>
              <a:buFontTx/>
              <a:buNone/>
              <a:tabLst/>
              <a:defRPr sz="1200" b="0" i="0" u="none" strike="noStrike" kern="1200" cap="none" spc="0" normalizeH="0" baseline="0">
                <a:solidFill>
                  <a:sysClr val="windowText" lastClr="000000">
                    <a:lumMod val="50000"/>
                    <a:lumOff val="50000"/>
                  </a:sysClr>
                </a:solidFill>
                <a:latin typeface="Cambria" panose="02040503050406030204" pitchFamily="18" charset="0"/>
                <a:ea typeface="+mj-ea"/>
                <a:cs typeface="+mj-cs"/>
              </a:defRPr>
            </a:pPr>
            <a:r>
              <a:rPr lang="fr-FR" sz="1200"/>
              <a:t>Drawdown </a:t>
            </a:r>
            <a:r>
              <a:rPr lang="fr-FR" sz="1200" b="0" i="0" baseline="0">
                <a:effectLst/>
              </a:rPr>
              <a:t>- Conformités</a:t>
            </a:r>
            <a:endParaRPr lang="fr-FR" sz="1200">
              <a:effectLst/>
            </a:endParaRPr>
          </a:p>
        </c:rich>
      </c:tx>
      <c:overlay val="0"/>
      <c:spPr>
        <a:noFill/>
        <a:ln>
          <a:noFill/>
        </a:ln>
        <a:effectLst/>
      </c:spPr>
      <c:txPr>
        <a:bodyPr rot="0" spcFirstLastPara="1" vertOverflow="ellipsis" vert="horz" wrap="square" anchor="ctr" anchorCtr="1"/>
        <a:lstStyle/>
        <a:p>
          <a:pPr marL="0" marR="0" lvl="0" indent="0" algn="ctr" defTabSz="914400" rtl="0" eaLnBrk="1" fontAlgn="auto" latinLnBrk="0" hangingPunct="1">
            <a:lnSpc>
              <a:spcPct val="100000"/>
            </a:lnSpc>
            <a:spcBef>
              <a:spcPts val="0"/>
            </a:spcBef>
            <a:spcAft>
              <a:spcPts val="0"/>
            </a:spcAft>
            <a:buClrTx/>
            <a:buSzTx/>
            <a:buFontTx/>
            <a:buNone/>
            <a:tabLst/>
            <a:defRPr sz="1200" b="0" i="0" u="none" strike="noStrike" kern="1200" cap="none" spc="0" normalizeH="0" baseline="0">
              <a:solidFill>
                <a:sysClr val="windowText" lastClr="000000">
                  <a:lumMod val="50000"/>
                  <a:lumOff val="50000"/>
                </a:sysClr>
              </a:solidFill>
              <a:latin typeface="Cambria" panose="02040503050406030204" pitchFamily="18" charset="0"/>
              <a:ea typeface="+mj-ea"/>
              <a:cs typeface="+mj-cs"/>
            </a:defRPr>
          </a:pPr>
          <a:endParaRPr lang="fr-FR"/>
        </a:p>
      </c:txPr>
    </c:title>
    <c:autoTitleDeleted val="0"/>
    <c:pivotFmts>
      <c:pivotFmt>
        <c:idx val="0"/>
      </c:pivotFmt>
      <c:pivotFmt>
        <c:idx val="1"/>
      </c:pivotFmt>
      <c:pivotFmt>
        <c:idx val="2"/>
        <c:spPr>
          <a:pattFill prst="ltUpDiag">
            <a:fgClr>
              <a:srgbClr val="C00000"/>
            </a:fgClr>
            <a:bgClr>
              <a:schemeClr val="bg1"/>
            </a:bgClr>
          </a:pattFill>
          <a:ln>
            <a:noFill/>
          </a:ln>
          <a:effectLst>
            <a:innerShdw blurRad="114300">
              <a:srgbClr val="C00000"/>
            </a:innerShdw>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dk1">
                      <a:lumMod val="75000"/>
                      <a:lumOff val="25000"/>
                    </a:schemeClr>
                  </a:solidFill>
                  <a:latin typeface="+mn-lt"/>
                  <a:ea typeface="+mn-ea"/>
                  <a:cs typeface="+mn-cs"/>
                </a:defRPr>
              </a:pPr>
              <a:endParaRPr lang="fr-FR"/>
            </a:p>
          </c:txPr>
          <c:showLegendKey val="0"/>
          <c:showVal val="1"/>
          <c:showCatName val="0"/>
          <c:showSerName val="0"/>
          <c:showPercent val="0"/>
          <c:showBubbleSize val="0"/>
          <c:extLst>
            <c:ext xmlns:c15="http://schemas.microsoft.com/office/drawing/2012/chart" uri="{CE6537A1-D6FC-4f65-9D91-7224C49458BB}"/>
          </c:extLst>
        </c:dLbl>
      </c:pivotFmt>
      <c:pivotFmt>
        <c:idx val="3"/>
        <c:spPr>
          <a:noFill/>
          <a:ln>
            <a:noFill/>
          </a:ln>
          <a:effectLst>
            <a:innerShdw blurRad="114300">
              <a:srgbClr val="C00000"/>
            </a:innerShdw>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dk1">
                      <a:lumMod val="75000"/>
                      <a:lumOff val="25000"/>
                    </a:schemeClr>
                  </a:solidFill>
                  <a:latin typeface="+mn-lt"/>
                  <a:ea typeface="+mn-ea"/>
                  <a:cs typeface="+mn-cs"/>
                </a:defRPr>
              </a:pPr>
              <a:endParaRPr lang="fr-FR"/>
            </a:p>
          </c:txPr>
          <c:showLegendKey val="0"/>
          <c:showVal val="0"/>
          <c:showCatName val="0"/>
          <c:showSerName val="0"/>
          <c:showPercent val="0"/>
          <c:showBubbleSize val="0"/>
          <c:extLst>
            <c:ext xmlns:c15="http://schemas.microsoft.com/office/drawing/2012/chart" uri="{CE6537A1-D6FC-4f65-9D91-7224C49458BB}"/>
          </c:extLst>
        </c:dLbl>
      </c:pivotFmt>
      <c:pivotFmt>
        <c:idx val="4"/>
        <c:spPr>
          <a:noFill/>
          <a:ln>
            <a:noFill/>
          </a:ln>
          <a:effectLst>
            <a:innerShdw blurRad="114300">
              <a:srgbClr val="C00000"/>
            </a:innerShdw>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dk1">
                      <a:lumMod val="75000"/>
                      <a:lumOff val="25000"/>
                    </a:schemeClr>
                  </a:solidFill>
                  <a:latin typeface="+mn-lt"/>
                  <a:ea typeface="+mn-ea"/>
                  <a:cs typeface="+mn-cs"/>
                </a:defRPr>
              </a:pPr>
              <a:endParaRPr lang="fr-FR"/>
            </a:p>
          </c:txPr>
          <c:showLegendKey val="0"/>
          <c:showVal val="0"/>
          <c:showCatName val="0"/>
          <c:showSerName val="0"/>
          <c:showPercent val="0"/>
          <c:showBubbleSize val="0"/>
          <c:extLst>
            <c:ext xmlns:c15="http://schemas.microsoft.com/office/drawing/2012/chart" uri="{CE6537A1-D6FC-4f65-9D91-7224C49458BB}"/>
          </c:extLst>
        </c:dLbl>
      </c:pivotFmt>
      <c:pivotFmt>
        <c:idx val="5"/>
        <c:spPr>
          <a:noFill/>
          <a:ln>
            <a:noFill/>
          </a:ln>
          <a:effectLst>
            <a:innerShdw blurRad="114300">
              <a:srgbClr val="C00000"/>
            </a:innerShdw>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dk1">
                      <a:lumMod val="75000"/>
                      <a:lumOff val="25000"/>
                    </a:schemeClr>
                  </a:solidFill>
                  <a:latin typeface="+mn-lt"/>
                  <a:ea typeface="+mn-ea"/>
                  <a:cs typeface="+mn-cs"/>
                </a:defRPr>
              </a:pPr>
              <a:endParaRPr lang="fr-FR"/>
            </a:p>
          </c:txPr>
          <c:showLegendKey val="0"/>
          <c:showVal val="0"/>
          <c:showCatName val="0"/>
          <c:showSerName val="0"/>
          <c:showPercent val="0"/>
          <c:showBubbleSize val="0"/>
          <c:extLst>
            <c:ext xmlns:c15="http://schemas.microsoft.com/office/drawing/2012/chart" uri="{CE6537A1-D6FC-4f65-9D91-7224C49458BB}"/>
          </c:extLst>
        </c:dLbl>
      </c:pivotFmt>
      <c:pivotFmt>
        <c:idx val="6"/>
        <c:spPr>
          <a:no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dk1">
                      <a:lumMod val="75000"/>
                      <a:lumOff val="25000"/>
                    </a:schemeClr>
                  </a:solidFill>
                  <a:latin typeface="+mn-lt"/>
                  <a:ea typeface="+mn-ea"/>
                  <a:cs typeface="+mn-cs"/>
                </a:defRPr>
              </a:pPr>
              <a:endParaRPr lang="fr-FR"/>
            </a:p>
          </c:txPr>
          <c:showLegendKey val="0"/>
          <c:showVal val="0"/>
          <c:showCatName val="0"/>
          <c:showSerName val="0"/>
          <c:showPercent val="0"/>
          <c:showBubbleSize val="0"/>
          <c:extLst>
            <c:ext xmlns:c15="http://schemas.microsoft.com/office/drawing/2012/chart" uri="{CE6537A1-D6FC-4f65-9D91-7224C49458BB}"/>
          </c:extLst>
        </c:dLbl>
      </c:pivotFmt>
      <c:pivotFmt>
        <c:idx val="7"/>
        <c:spPr>
          <a:pattFill prst="ltUpDiag">
            <a:fgClr>
              <a:srgbClr val="C00000"/>
            </a:fgClr>
            <a:bgClr>
              <a:sysClr val="window" lastClr="FFFFFF"/>
            </a:bgClr>
          </a:pattFill>
          <a:ln>
            <a:noFill/>
          </a:ln>
          <a:effectLst>
            <a:innerShdw blurRad="114300">
              <a:srgbClr val="C00000"/>
            </a:innerShdw>
          </a:effectLst>
        </c:spPr>
        <c:marker>
          <c:symbol val="none"/>
        </c:marker>
        <c:dLbl>
          <c:idx val="0"/>
          <c:numFmt formatCode="\+\ 0.00%;\-\ 0.00%;&quot;&quot;" sourceLinked="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dk1">
                      <a:lumMod val="75000"/>
                      <a:lumOff val="25000"/>
                    </a:schemeClr>
                  </a:solidFill>
                  <a:latin typeface="+mn-lt"/>
                  <a:ea typeface="+mn-ea"/>
                  <a:cs typeface="+mn-cs"/>
                </a:defRPr>
              </a:pPr>
              <a:endParaRPr lang="fr-FR"/>
            </a:p>
          </c:txPr>
          <c:showLegendKey val="0"/>
          <c:showVal val="1"/>
          <c:showCatName val="0"/>
          <c:showSerName val="0"/>
          <c:showPercent val="0"/>
          <c:showBubbleSize val="0"/>
          <c:extLst>
            <c:ext xmlns:c15="http://schemas.microsoft.com/office/drawing/2012/chart" uri="{CE6537A1-D6FC-4f65-9D91-7224C49458BB}"/>
          </c:extLst>
        </c:dLbl>
      </c:pivotFmt>
      <c:pivotFmt>
        <c:idx val="8"/>
        <c:spPr>
          <a:solidFill>
            <a:srgbClr val="0070C0">
              <a:alpha val="15000"/>
            </a:srgbClr>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dk1">
                      <a:lumMod val="75000"/>
                      <a:lumOff val="25000"/>
                    </a:schemeClr>
                  </a:solidFill>
                  <a:latin typeface="+mn-lt"/>
                  <a:ea typeface="+mn-ea"/>
                  <a:cs typeface="+mn-cs"/>
                </a:defRPr>
              </a:pPr>
              <a:endParaRPr lang="fr-FR"/>
            </a:p>
          </c:txPr>
          <c:showLegendKey val="0"/>
          <c:showVal val="0"/>
          <c:showCatName val="0"/>
          <c:showSerName val="0"/>
          <c:showPercent val="0"/>
          <c:showBubbleSize val="0"/>
          <c:extLst>
            <c:ext xmlns:c15="http://schemas.microsoft.com/office/drawing/2012/chart" uri="{CE6537A1-D6FC-4f65-9D91-7224C49458BB}"/>
          </c:extLst>
        </c:dLbl>
      </c:pivotFmt>
      <c:pivotFmt>
        <c:idx val="9"/>
        <c:spPr>
          <a:solidFill>
            <a:srgbClr val="C00000">
              <a:alpha val="15000"/>
            </a:srgbClr>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dk1">
                      <a:lumMod val="75000"/>
                      <a:lumOff val="25000"/>
                    </a:schemeClr>
                  </a:solidFill>
                  <a:latin typeface="+mn-lt"/>
                  <a:ea typeface="+mn-ea"/>
                  <a:cs typeface="+mn-cs"/>
                </a:defRPr>
              </a:pPr>
              <a:endParaRPr lang="fr-FR"/>
            </a:p>
          </c:txPr>
          <c:showLegendKey val="0"/>
          <c:showVal val="0"/>
          <c:showCatName val="0"/>
          <c:showSerName val="0"/>
          <c:showPercent val="0"/>
          <c:showBubbleSize val="0"/>
          <c:extLst>
            <c:ext xmlns:c15="http://schemas.microsoft.com/office/drawing/2012/chart" uri="{CE6537A1-D6FC-4f65-9D91-7224C49458BB}"/>
          </c:extLst>
        </c:dLbl>
      </c:pivotFmt>
      <c:pivotFmt>
        <c:idx val="10"/>
        <c:spPr>
          <a:no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dk1">
                      <a:lumMod val="75000"/>
                      <a:lumOff val="25000"/>
                    </a:schemeClr>
                  </a:solidFill>
                  <a:latin typeface="+mn-lt"/>
                  <a:ea typeface="+mn-ea"/>
                  <a:cs typeface="+mn-cs"/>
                </a:defRPr>
              </a:pPr>
              <a:endParaRPr lang="fr-FR"/>
            </a:p>
          </c:txPr>
          <c:showLegendKey val="0"/>
          <c:showVal val="0"/>
          <c:showCatName val="0"/>
          <c:showSerName val="0"/>
          <c:showPercent val="0"/>
          <c:showBubbleSize val="0"/>
          <c:extLst>
            <c:ext xmlns:c15="http://schemas.microsoft.com/office/drawing/2012/chart" uri="{CE6537A1-D6FC-4f65-9D91-7224C49458BB}"/>
          </c:extLst>
        </c:dLbl>
      </c:pivotFmt>
      <c:pivotFmt>
        <c:idx val="11"/>
        <c:spPr>
          <a:no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dk1">
                      <a:lumMod val="75000"/>
                      <a:lumOff val="25000"/>
                    </a:schemeClr>
                  </a:solidFill>
                  <a:latin typeface="+mn-lt"/>
                  <a:ea typeface="+mn-ea"/>
                  <a:cs typeface="+mn-cs"/>
                </a:defRPr>
              </a:pPr>
              <a:endParaRPr lang="fr-FR"/>
            </a:p>
          </c:txPr>
          <c:showLegendKey val="0"/>
          <c:showVal val="0"/>
          <c:showCatName val="0"/>
          <c:showSerName val="0"/>
          <c:showPercent val="0"/>
          <c:showBubbleSize val="0"/>
          <c:extLst>
            <c:ext xmlns:c15="http://schemas.microsoft.com/office/drawing/2012/chart" uri="{CE6537A1-D6FC-4f65-9D91-7224C49458BB}"/>
          </c:extLst>
        </c:dLbl>
      </c:pivotFmt>
      <c:pivotFmt>
        <c:idx val="12"/>
        <c:spPr>
          <a:no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dk1">
                      <a:lumMod val="75000"/>
                      <a:lumOff val="25000"/>
                    </a:schemeClr>
                  </a:solidFill>
                  <a:latin typeface="+mn-lt"/>
                  <a:ea typeface="+mn-ea"/>
                  <a:cs typeface="+mn-cs"/>
                </a:defRPr>
              </a:pPr>
              <a:endParaRPr lang="fr-FR"/>
            </a:p>
          </c:txPr>
          <c:showLegendKey val="0"/>
          <c:showVal val="0"/>
          <c:showCatName val="0"/>
          <c:showSerName val="0"/>
          <c:showPercent val="0"/>
          <c:showBubbleSize val="0"/>
          <c:extLst>
            <c:ext xmlns:c15="http://schemas.microsoft.com/office/drawing/2012/chart" uri="{CE6537A1-D6FC-4f65-9D91-7224C49458BB}"/>
          </c:extLst>
        </c:dLbl>
      </c:pivotFmt>
      <c:pivotFmt>
        <c:idx val="13"/>
        <c:spPr>
          <a:no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dk1">
                      <a:lumMod val="75000"/>
                      <a:lumOff val="25000"/>
                    </a:schemeClr>
                  </a:solidFill>
                  <a:latin typeface="+mn-lt"/>
                  <a:ea typeface="+mn-ea"/>
                  <a:cs typeface="+mn-cs"/>
                </a:defRPr>
              </a:pPr>
              <a:endParaRPr lang="fr-FR"/>
            </a:p>
          </c:txPr>
          <c:showLegendKey val="0"/>
          <c:showVal val="0"/>
          <c:showCatName val="0"/>
          <c:showSerName val="0"/>
          <c:showPercent val="0"/>
          <c:showBubbleSize val="0"/>
          <c:extLst>
            <c:ext xmlns:c15="http://schemas.microsoft.com/office/drawing/2012/chart" uri="{CE6537A1-D6FC-4f65-9D91-7224C49458BB}"/>
          </c:extLst>
        </c:dLbl>
      </c:pivotFmt>
      <c:pivotFmt>
        <c:idx val="14"/>
        <c:spPr>
          <a:no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dk1">
                      <a:lumMod val="75000"/>
                      <a:lumOff val="25000"/>
                    </a:schemeClr>
                  </a:solidFill>
                  <a:latin typeface="+mn-lt"/>
                  <a:ea typeface="+mn-ea"/>
                  <a:cs typeface="+mn-cs"/>
                </a:defRPr>
              </a:pPr>
              <a:endParaRPr lang="fr-FR"/>
            </a:p>
          </c:txPr>
          <c:showLegendKey val="0"/>
          <c:showVal val="0"/>
          <c:showCatName val="0"/>
          <c:showSerName val="0"/>
          <c:showPercent val="0"/>
          <c:showBubbleSize val="0"/>
          <c:extLst>
            <c:ext xmlns:c15="http://schemas.microsoft.com/office/drawing/2012/chart" uri="{CE6537A1-D6FC-4f65-9D91-7224C49458BB}"/>
          </c:extLst>
        </c:dLbl>
      </c:pivotFmt>
      <c:pivotFmt>
        <c:idx val="15"/>
        <c:spPr>
          <a:no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dk1">
                      <a:lumMod val="75000"/>
                      <a:lumOff val="25000"/>
                    </a:schemeClr>
                  </a:solidFill>
                  <a:latin typeface="+mn-lt"/>
                  <a:ea typeface="+mn-ea"/>
                  <a:cs typeface="+mn-cs"/>
                </a:defRPr>
              </a:pPr>
              <a:endParaRPr lang="fr-FR"/>
            </a:p>
          </c:txPr>
          <c:showLegendKey val="0"/>
          <c:showVal val="0"/>
          <c:showCatName val="0"/>
          <c:showSerName val="0"/>
          <c:showPercent val="0"/>
          <c:showBubbleSize val="0"/>
          <c:extLst>
            <c:ext xmlns:c15="http://schemas.microsoft.com/office/drawing/2012/chart" uri="{CE6537A1-D6FC-4f65-9D91-7224C49458BB}"/>
          </c:extLst>
        </c:dLbl>
      </c:pivotFmt>
      <c:pivotFmt>
        <c:idx val="16"/>
        <c:spPr>
          <a:no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dk1">
                      <a:lumMod val="75000"/>
                      <a:lumOff val="25000"/>
                    </a:schemeClr>
                  </a:solidFill>
                  <a:latin typeface="+mn-lt"/>
                  <a:ea typeface="+mn-ea"/>
                  <a:cs typeface="+mn-cs"/>
                </a:defRPr>
              </a:pPr>
              <a:endParaRPr lang="fr-FR"/>
            </a:p>
          </c:txPr>
          <c:showLegendKey val="0"/>
          <c:showVal val="0"/>
          <c:showCatName val="0"/>
          <c:showSerName val="0"/>
          <c:showPercent val="0"/>
          <c:showBubbleSize val="0"/>
          <c:extLst>
            <c:ext xmlns:c15="http://schemas.microsoft.com/office/drawing/2012/chart" uri="{CE6537A1-D6FC-4f65-9D91-7224C49458BB}"/>
          </c:extLst>
        </c:dLbl>
      </c:pivotFmt>
      <c:pivotFmt>
        <c:idx val="17"/>
        <c:spPr>
          <a:no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dk1">
                      <a:lumMod val="75000"/>
                      <a:lumOff val="25000"/>
                    </a:schemeClr>
                  </a:solidFill>
                  <a:latin typeface="+mn-lt"/>
                  <a:ea typeface="+mn-ea"/>
                  <a:cs typeface="+mn-cs"/>
                </a:defRPr>
              </a:pPr>
              <a:endParaRPr lang="fr-FR"/>
            </a:p>
          </c:txPr>
          <c:showLegendKey val="0"/>
          <c:showVal val="0"/>
          <c:showCatName val="0"/>
          <c:showSerName val="0"/>
          <c:showPercent val="0"/>
          <c:showBubbleSize val="0"/>
          <c:extLst>
            <c:ext xmlns:c15="http://schemas.microsoft.com/office/drawing/2012/chart" uri="{CE6537A1-D6FC-4f65-9D91-7224C49458BB}"/>
          </c:extLst>
        </c:dLbl>
      </c:pivotFmt>
      <c:pivotFmt>
        <c:idx val="18"/>
        <c:spPr>
          <a:no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dk1">
                      <a:lumMod val="75000"/>
                      <a:lumOff val="25000"/>
                    </a:schemeClr>
                  </a:solidFill>
                  <a:latin typeface="+mn-lt"/>
                  <a:ea typeface="+mn-ea"/>
                  <a:cs typeface="+mn-cs"/>
                </a:defRPr>
              </a:pPr>
              <a:endParaRPr lang="fr-FR"/>
            </a:p>
          </c:txPr>
          <c:showLegendKey val="0"/>
          <c:showVal val="0"/>
          <c:showCatName val="0"/>
          <c:showSerName val="0"/>
          <c:showPercent val="0"/>
          <c:showBubbleSize val="0"/>
          <c:extLst>
            <c:ext xmlns:c15="http://schemas.microsoft.com/office/drawing/2012/chart" uri="{CE6537A1-D6FC-4f65-9D91-7224C49458BB}"/>
          </c:extLst>
        </c:dLbl>
      </c:pivotFmt>
      <c:pivotFmt>
        <c:idx val="19"/>
        <c:spPr>
          <a:no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dk1">
                      <a:lumMod val="75000"/>
                      <a:lumOff val="25000"/>
                    </a:schemeClr>
                  </a:solidFill>
                  <a:latin typeface="+mn-lt"/>
                  <a:ea typeface="+mn-ea"/>
                  <a:cs typeface="+mn-cs"/>
                </a:defRPr>
              </a:pPr>
              <a:endParaRPr lang="fr-FR"/>
            </a:p>
          </c:txPr>
          <c:showLegendKey val="0"/>
          <c:showVal val="0"/>
          <c:showCatName val="0"/>
          <c:showSerName val="0"/>
          <c:showPercent val="0"/>
          <c:showBubbleSize val="0"/>
          <c:extLst>
            <c:ext xmlns:c15="http://schemas.microsoft.com/office/drawing/2012/chart" uri="{CE6537A1-D6FC-4f65-9D91-7224C49458BB}"/>
          </c:extLst>
        </c:dLbl>
      </c:pivotFmt>
      <c:pivotFmt>
        <c:idx val="20"/>
        <c:spPr>
          <a:no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dk1">
                      <a:lumMod val="75000"/>
                      <a:lumOff val="25000"/>
                    </a:schemeClr>
                  </a:solidFill>
                  <a:latin typeface="+mn-lt"/>
                  <a:ea typeface="+mn-ea"/>
                  <a:cs typeface="+mn-cs"/>
                </a:defRPr>
              </a:pPr>
              <a:endParaRPr lang="fr-FR"/>
            </a:p>
          </c:txPr>
          <c:showLegendKey val="0"/>
          <c:showVal val="0"/>
          <c:showCatName val="0"/>
          <c:showSerName val="0"/>
          <c:showPercent val="0"/>
          <c:showBubbleSize val="0"/>
          <c:extLst>
            <c:ext xmlns:c15="http://schemas.microsoft.com/office/drawing/2012/chart" uri="{CE6537A1-D6FC-4f65-9D91-7224C49458BB}"/>
          </c:extLst>
        </c:dLbl>
      </c:pivotFmt>
      <c:pivotFmt>
        <c:idx val="21"/>
        <c:spPr>
          <a:no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dk1">
                      <a:lumMod val="75000"/>
                      <a:lumOff val="25000"/>
                    </a:schemeClr>
                  </a:solidFill>
                  <a:latin typeface="+mn-lt"/>
                  <a:ea typeface="+mn-ea"/>
                  <a:cs typeface="+mn-cs"/>
                </a:defRPr>
              </a:pPr>
              <a:endParaRPr lang="fr-FR"/>
            </a:p>
          </c:txPr>
          <c:showLegendKey val="0"/>
          <c:showVal val="0"/>
          <c:showCatName val="0"/>
          <c:showSerName val="0"/>
          <c:showPercent val="0"/>
          <c:showBubbleSize val="0"/>
          <c:extLst>
            <c:ext xmlns:c15="http://schemas.microsoft.com/office/drawing/2012/chart" uri="{CE6537A1-D6FC-4f65-9D91-7224C49458BB}"/>
          </c:extLst>
        </c:dLbl>
      </c:pivotFmt>
      <c:pivotFmt>
        <c:idx val="22"/>
        <c:spPr>
          <a:no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dk1">
                      <a:lumMod val="75000"/>
                      <a:lumOff val="25000"/>
                    </a:schemeClr>
                  </a:solidFill>
                  <a:latin typeface="+mn-lt"/>
                  <a:ea typeface="+mn-ea"/>
                  <a:cs typeface="+mn-cs"/>
                </a:defRPr>
              </a:pPr>
              <a:endParaRPr lang="fr-FR"/>
            </a:p>
          </c:txPr>
          <c:showLegendKey val="0"/>
          <c:showVal val="0"/>
          <c:showCatName val="0"/>
          <c:showSerName val="0"/>
          <c:showPercent val="0"/>
          <c:showBubbleSize val="0"/>
          <c:extLst>
            <c:ext xmlns:c15="http://schemas.microsoft.com/office/drawing/2012/chart" uri="{CE6537A1-D6FC-4f65-9D91-7224C49458BB}"/>
          </c:extLst>
        </c:dLbl>
      </c:pivotFmt>
      <c:pivotFmt>
        <c:idx val="23"/>
        <c:spPr>
          <a:pattFill prst="ltUpDiag">
            <a:fgClr>
              <a:srgbClr val="C00000"/>
            </a:fgClr>
            <a:bgClr>
              <a:sysClr val="window" lastClr="FFFFFF"/>
            </a:bgClr>
          </a:pattFill>
          <a:ln>
            <a:noFill/>
          </a:ln>
          <a:effectLst>
            <a:innerShdw blurRad="114300">
              <a:srgbClr val="C00000"/>
            </a:innerShdw>
          </a:effectLst>
        </c:spPr>
        <c:marker>
          <c:symbol val="none"/>
        </c:marker>
        <c:dLbl>
          <c:idx val="0"/>
          <c:numFmt formatCode="\+\ 0.00%;\-\ 0.00%;&quot;&quot;" sourceLinked="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dk1">
                      <a:lumMod val="75000"/>
                      <a:lumOff val="25000"/>
                    </a:schemeClr>
                  </a:solidFill>
                  <a:latin typeface="+mn-lt"/>
                  <a:ea typeface="+mn-ea"/>
                  <a:cs typeface="+mn-cs"/>
                </a:defRPr>
              </a:pPr>
              <a:endParaRPr lang="fr-FR"/>
            </a:p>
          </c:txPr>
          <c:showLegendKey val="0"/>
          <c:showVal val="1"/>
          <c:showCatName val="0"/>
          <c:showSerName val="0"/>
          <c:showPercent val="0"/>
          <c:showBubbleSize val="0"/>
          <c:extLst>
            <c:ext xmlns:c15="http://schemas.microsoft.com/office/drawing/2012/chart" uri="{CE6537A1-D6FC-4f65-9D91-7224C49458BB}"/>
          </c:extLst>
        </c:dLbl>
      </c:pivotFmt>
      <c:pivotFmt>
        <c:idx val="24"/>
        <c:spPr>
          <a:pattFill prst="ltUpDiag">
            <a:fgClr>
              <a:srgbClr val="C00000"/>
            </a:fgClr>
            <a:bgClr>
              <a:sysClr val="window" lastClr="FFFFFF"/>
            </a:bgClr>
          </a:pattFill>
          <a:ln>
            <a:noFill/>
          </a:ln>
          <a:effectLst>
            <a:innerShdw blurRad="114300">
              <a:srgbClr val="C00000"/>
            </a:innerShdw>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dk1">
                      <a:lumMod val="75000"/>
                      <a:lumOff val="25000"/>
                    </a:schemeClr>
                  </a:solidFill>
                  <a:latin typeface="+mn-lt"/>
                  <a:ea typeface="+mn-ea"/>
                  <a:cs typeface="+mn-cs"/>
                </a:defRPr>
              </a:pPr>
              <a:endParaRPr lang="fr-FR"/>
            </a:p>
          </c:txPr>
          <c:showLegendKey val="0"/>
          <c:showVal val="1"/>
          <c:showCatName val="0"/>
          <c:showSerName val="0"/>
          <c:showPercent val="0"/>
          <c:showBubbleSize val="0"/>
          <c:extLst>
            <c:ext xmlns:c15="http://schemas.microsoft.com/office/drawing/2012/chart" uri="{CE6537A1-D6FC-4f65-9D91-7224C49458BB}"/>
          </c:extLst>
        </c:dLbl>
      </c:pivotFmt>
    </c:pivotFmts>
    <c:plotArea>
      <c:layout>
        <c:manualLayout>
          <c:layoutTarget val="inner"/>
          <c:xMode val="edge"/>
          <c:yMode val="edge"/>
          <c:x val="7.8325000000000006E-2"/>
          <c:y val="0.1234812091503268"/>
          <c:w val="0.80132546296296292"/>
          <c:h val="0.75616830065359464"/>
        </c:manualLayout>
      </c:layout>
      <c:barChart>
        <c:barDir val="col"/>
        <c:grouping val="clustered"/>
        <c:varyColors val="0"/>
        <c:ser>
          <c:idx val="4"/>
          <c:order val="4"/>
          <c:tx>
            <c:strRef>
              <c:f>'Calculs jour'!$F$14</c:f>
              <c:strCache>
                <c:ptCount val="1"/>
                <c:pt idx="0">
                  <c:v>Min. de Drawdown</c:v>
                </c:pt>
              </c:strCache>
            </c:strRef>
          </c:tx>
          <c:spPr>
            <a:pattFill prst="ltUpDiag">
              <a:fgClr>
                <a:srgbClr val="C00000"/>
              </a:fgClr>
              <a:bgClr>
                <a:sysClr val="window" lastClr="FFFFFF"/>
              </a:bgClr>
            </a:pattFill>
            <a:ln>
              <a:noFill/>
            </a:ln>
            <a:effectLst>
              <a:innerShdw blurRad="114300">
                <a:srgbClr val="C00000"/>
              </a:innerShdw>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dk1">
                        <a:lumMod val="75000"/>
                        <a:lumOff val="25000"/>
                      </a:schemeClr>
                    </a:solidFill>
                    <a:latin typeface="+mn-lt"/>
                    <a:ea typeface="+mn-ea"/>
                    <a:cs typeface="+mn-cs"/>
                  </a:defRPr>
                </a:pPr>
                <a:endParaRPr lang="fr-FR"/>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dk1">
                          <a:lumMod val="35000"/>
                          <a:lumOff val="65000"/>
                        </a:schemeClr>
                      </a:solidFill>
                      <a:round/>
                    </a:ln>
                    <a:effectLst/>
                  </c:spPr>
                </c15:leaderLines>
              </c:ext>
            </c:extLst>
          </c:dLbls>
          <c:cat>
            <c:strRef>
              <c:f>'Calculs jour'!$A$15:$A$16</c:f>
              <c:strCache>
                <c:ptCount val="1"/>
                <c:pt idx="0">
                  <c:v>21/02/2020 08:34</c:v>
                </c:pt>
              </c:strCache>
            </c:strRef>
          </c:cat>
          <c:val>
            <c:numRef>
              <c:f>'Calculs jour'!$F$15:$F$16</c:f>
              <c:numCache>
                <c:formatCode>0.00%</c:formatCode>
                <c:ptCount val="1"/>
                <c:pt idx="0">
                  <c:v>0</c:v>
                </c:pt>
              </c:numCache>
            </c:numRef>
          </c:val>
          <c:extLst>
            <c:ext xmlns:c16="http://schemas.microsoft.com/office/drawing/2014/chart" uri="{C3380CC4-5D6E-409C-BE32-E72D297353CC}">
              <c16:uniqueId val="{00000004-9E15-4E4F-BE19-610D995AEA71}"/>
            </c:ext>
          </c:extLst>
        </c:ser>
        <c:dLbls>
          <c:showLegendKey val="0"/>
          <c:showVal val="0"/>
          <c:showCatName val="0"/>
          <c:showSerName val="0"/>
          <c:showPercent val="0"/>
          <c:showBubbleSize val="0"/>
        </c:dLbls>
        <c:gapWidth val="267"/>
        <c:overlap val="100"/>
        <c:axId val="1918809040"/>
        <c:axId val="1915982816"/>
      </c:barChart>
      <c:barChart>
        <c:barDir val="col"/>
        <c:grouping val="clustered"/>
        <c:varyColors val="0"/>
        <c:ser>
          <c:idx val="0"/>
          <c:order val="0"/>
          <c:tx>
            <c:strRef>
              <c:f>'Calculs jour'!$B$14</c:f>
              <c:strCache>
                <c:ptCount val="1"/>
                <c:pt idx="0">
                  <c:v>Somme de Points</c:v>
                </c:pt>
              </c:strCache>
            </c:strRef>
          </c:tx>
          <c:spPr>
            <a:noFill/>
            <a:ln>
              <a:noFill/>
            </a:ln>
            <a:effectLst>
              <a:innerShdw blurRad="114300">
                <a:srgbClr val="C00000"/>
              </a:innerShdw>
            </a:effectLst>
          </c:spPr>
          <c:invertIfNegative val="0"/>
          <c:cat>
            <c:strRef>
              <c:f>'Calculs jour'!$A$15:$A$16</c:f>
              <c:strCache>
                <c:ptCount val="1"/>
                <c:pt idx="0">
                  <c:v>21/02/2020 08:34</c:v>
                </c:pt>
              </c:strCache>
            </c:strRef>
          </c:cat>
          <c:val>
            <c:numRef>
              <c:f>'Calculs jour'!$B$15:$B$16</c:f>
              <c:numCache>
                <c:formatCode>General</c:formatCode>
                <c:ptCount val="1"/>
                <c:pt idx="0">
                  <c:v>1</c:v>
                </c:pt>
              </c:numCache>
            </c:numRef>
          </c:val>
          <c:extLst>
            <c:ext xmlns:c16="http://schemas.microsoft.com/office/drawing/2014/chart" uri="{C3380CC4-5D6E-409C-BE32-E72D297353CC}">
              <c16:uniqueId val="{00000000-75CC-453C-93E5-DCF76FB4B57A}"/>
            </c:ext>
          </c:extLst>
        </c:ser>
        <c:ser>
          <c:idx val="1"/>
          <c:order val="1"/>
          <c:tx>
            <c:strRef>
              <c:f>'Calculs jour'!$C$14</c:f>
              <c:strCache>
                <c:ptCount val="1"/>
                <c:pt idx="0">
                  <c:v>Points cumulés</c:v>
                </c:pt>
              </c:strCache>
            </c:strRef>
          </c:tx>
          <c:spPr>
            <a:noFill/>
            <a:ln>
              <a:noFill/>
            </a:ln>
            <a:effectLst>
              <a:innerShdw blurRad="114300">
                <a:srgbClr val="C00000"/>
              </a:innerShdw>
            </a:effectLst>
          </c:spPr>
          <c:invertIfNegative val="0"/>
          <c:cat>
            <c:strRef>
              <c:f>'Calculs jour'!$A$15:$A$16</c:f>
              <c:strCache>
                <c:ptCount val="1"/>
                <c:pt idx="0">
                  <c:v>21/02/2020 08:34</c:v>
                </c:pt>
              </c:strCache>
            </c:strRef>
          </c:cat>
          <c:val>
            <c:numRef>
              <c:f>'Calculs jour'!$C$15:$C$16</c:f>
              <c:numCache>
                <c:formatCode>General</c:formatCode>
                <c:ptCount val="1"/>
                <c:pt idx="0">
                  <c:v>1</c:v>
                </c:pt>
              </c:numCache>
            </c:numRef>
          </c:val>
          <c:extLst>
            <c:ext xmlns:c16="http://schemas.microsoft.com/office/drawing/2014/chart" uri="{C3380CC4-5D6E-409C-BE32-E72D297353CC}">
              <c16:uniqueId val="{00000001-9E15-4E4F-BE19-610D995AEA71}"/>
            </c:ext>
          </c:extLst>
        </c:ser>
        <c:ser>
          <c:idx val="2"/>
          <c:order val="2"/>
          <c:tx>
            <c:strRef>
              <c:f>'Calculs jour'!$D$14</c:f>
              <c:strCache>
                <c:ptCount val="1"/>
                <c:pt idx="0">
                  <c:v>Variationjour+ Table</c:v>
                </c:pt>
              </c:strCache>
            </c:strRef>
          </c:tx>
          <c:spPr>
            <a:noFill/>
            <a:ln>
              <a:noFill/>
            </a:ln>
            <a:effectLst>
              <a:innerShdw blurRad="114300">
                <a:srgbClr val="C00000"/>
              </a:innerShdw>
            </a:effectLst>
          </c:spPr>
          <c:invertIfNegative val="0"/>
          <c:cat>
            <c:strRef>
              <c:f>'Calculs jour'!$A$15:$A$16</c:f>
              <c:strCache>
                <c:ptCount val="1"/>
                <c:pt idx="0">
                  <c:v>21/02/2020 08:34</c:v>
                </c:pt>
              </c:strCache>
            </c:strRef>
          </c:cat>
          <c:val>
            <c:numRef>
              <c:f>'Calculs jour'!$D$15:$D$16</c:f>
              <c:numCache>
                <c:formatCode>0.00%</c:formatCode>
                <c:ptCount val="1"/>
                <c:pt idx="0">
                  <c:v>5.0273581817325671E-4</c:v>
                </c:pt>
              </c:numCache>
            </c:numRef>
          </c:val>
          <c:extLst>
            <c:ext xmlns:c16="http://schemas.microsoft.com/office/drawing/2014/chart" uri="{C3380CC4-5D6E-409C-BE32-E72D297353CC}">
              <c16:uniqueId val="{00000002-9E15-4E4F-BE19-610D995AEA71}"/>
            </c:ext>
          </c:extLst>
        </c:ser>
        <c:ser>
          <c:idx val="3"/>
          <c:order val="3"/>
          <c:tx>
            <c:strRef>
              <c:f>'Calculs jour'!$E$14</c:f>
              <c:strCache>
                <c:ptCount val="1"/>
                <c:pt idx="0">
                  <c:v>Variationjour- Table</c:v>
                </c:pt>
              </c:strCache>
            </c:strRef>
          </c:tx>
          <c:spPr>
            <a:noFill/>
            <a:ln>
              <a:noFill/>
            </a:ln>
            <a:effectLst/>
          </c:spPr>
          <c:invertIfNegative val="0"/>
          <c:cat>
            <c:strRef>
              <c:f>'Calculs jour'!$A$15:$A$16</c:f>
              <c:strCache>
                <c:ptCount val="1"/>
                <c:pt idx="0">
                  <c:v>21/02/2020 08:34</c:v>
                </c:pt>
              </c:strCache>
            </c:strRef>
          </c:cat>
          <c:val>
            <c:numRef>
              <c:f>'Calculs jour'!$E$15:$E$16</c:f>
              <c:numCache>
                <c:formatCode>0.00%</c:formatCode>
                <c:ptCount val="1"/>
                <c:pt idx="0">
                  <c:v>0</c:v>
                </c:pt>
              </c:numCache>
            </c:numRef>
          </c:val>
          <c:extLst>
            <c:ext xmlns:c16="http://schemas.microsoft.com/office/drawing/2014/chart" uri="{C3380CC4-5D6E-409C-BE32-E72D297353CC}">
              <c16:uniqueId val="{00000003-9E15-4E4F-BE19-610D995AEA71}"/>
            </c:ext>
          </c:extLst>
        </c:ser>
        <c:ser>
          <c:idx val="5"/>
          <c:order val="5"/>
          <c:tx>
            <c:strRef>
              <c:f>'Calculs jour'!$G$14</c:f>
              <c:strCache>
                <c:ptCount val="1"/>
                <c:pt idx="0">
                  <c:v>Conforme </c:v>
                </c:pt>
              </c:strCache>
            </c:strRef>
          </c:tx>
          <c:spPr>
            <a:solidFill>
              <a:srgbClr val="0070C0">
                <a:alpha val="15000"/>
              </a:srgbClr>
            </a:solidFill>
            <a:ln>
              <a:noFill/>
            </a:ln>
            <a:effectLst/>
          </c:spPr>
          <c:invertIfNegative val="0"/>
          <c:cat>
            <c:strRef>
              <c:f>'Calculs jour'!$A$15:$A$16</c:f>
              <c:strCache>
                <c:ptCount val="1"/>
                <c:pt idx="0">
                  <c:v>21/02/2020 08:34</c:v>
                </c:pt>
              </c:strCache>
            </c:strRef>
          </c:cat>
          <c:val>
            <c:numRef>
              <c:f>'Calculs jour'!$G$15:$G$16</c:f>
              <c:numCache>
                <c:formatCode>General</c:formatCode>
                <c:ptCount val="1"/>
                <c:pt idx="0">
                  <c:v>1</c:v>
                </c:pt>
              </c:numCache>
            </c:numRef>
          </c:val>
          <c:extLst>
            <c:ext xmlns:c16="http://schemas.microsoft.com/office/drawing/2014/chart" uri="{C3380CC4-5D6E-409C-BE32-E72D297353CC}">
              <c16:uniqueId val="{00000005-9E15-4E4F-BE19-610D995AEA71}"/>
            </c:ext>
          </c:extLst>
        </c:ser>
        <c:ser>
          <c:idx val="6"/>
          <c:order val="6"/>
          <c:tx>
            <c:strRef>
              <c:f>'Calculs jour'!$H$14</c:f>
              <c:strCache>
                <c:ptCount val="1"/>
                <c:pt idx="0">
                  <c:v>Non conforme </c:v>
                </c:pt>
              </c:strCache>
            </c:strRef>
          </c:tx>
          <c:spPr>
            <a:solidFill>
              <a:srgbClr val="C00000">
                <a:alpha val="15000"/>
              </a:srgbClr>
            </a:solidFill>
            <a:ln>
              <a:noFill/>
            </a:ln>
            <a:effectLst/>
          </c:spPr>
          <c:invertIfNegative val="0"/>
          <c:cat>
            <c:strRef>
              <c:f>'Calculs jour'!$A$15:$A$16</c:f>
              <c:strCache>
                <c:ptCount val="1"/>
                <c:pt idx="0">
                  <c:v>21/02/2020 08:34</c:v>
                </c:pt>
              </c:strCache>
            </c:strRef>
          </c:cat>
          <c:val>
            <c:numRef>
              <c:f>'Calculs jour'!$H$15:$H$16</c:f>
              <c:numCache>
                <c:formatCode>General</c:formatCode>
                <c:ptCount val="1"/>
                <c:pt idx="0">
                  <c:v>0</c:v>
                </c:pt>
              </c:numCache>
            </c:numRef>
          </c:val>
          <c:extLst>
            <c:ext xmlns:c16="http://schemas.microsoft.com/office/drawing/2014/chart" uri="{C3380CC4-5D6E-409C-BE32-E72D297353CC}">
              <c16:uniqueId val="{00000006-9E15-4E4F-BE19-610D995AEA71}"/>
            </c:ext>
          </c:extLst>
        </c:ser>
        <c:ser>
          <c:idx val="7"/>
          <c:order val="7"/>
          <c:tx>
            <c:strRef>
              <c:f>'Calculs jour'!$I$14</c:f>
              <c:strCache>
                <c:ptCount val="1"/>
                <c:pt idx="0">
                  <c:v>Somme de Gagnant</c:v>
                </c:pt>
              </c:strCache>
            </c:strRef>
          </c:tx>
          <c:spPr>
            <a:noFill/>
            <a:ln>
              <a:noFill/>
            </a:ln>
            <a:effectLst/>
          </c:spPr>
          <c:invertIfNegative val="0"/>
          <c:cat>
            <c:strRef>
              <c:f>'Calculs jour'!$A$15:$A$16</c:f>
              <c:strCache>
                <c:ptCount val="1"/>
                <c:pt idx="0">
                  <c:v>21/02/2020 08:34</c:v>
                </c:pt>
              </c:strCache>
            </c:strRef>
          </c:cat>
          <c:val>
            <c:numRef>
              <c:f>'Calculs jour'!$I$15:$I$16</c:f>
              <c:numCache>
                <c:formatCode>General</c:formatCode>
                <c:ptCount val="1"/>
                <c:pt idx="0">
                  <c:v>1</c:v>
                </c:pt>
              </c:numCache>
            </c:numRef>
          </c:val>
          <c:extLst>
            <c:ext xmlns:c16="http://schemas.microsoft.com/office/drawing/2014/chart" uri="{C3380CC4-5D6E-409C-BE32-E72D297353CC}">
              <c16:uniqueId val="{00000007-9E15-4E4F-BE19-610D995AEA71}"/>
            </c:ext>
          </c:extLst>
        </c:ser>
        <c:ser>
          <c:idx val="8"/>
          <c:order val="8"/>
          <c:tx>
            <c:strRef>
              <c:f>'Calculs jour'!$J$14</c:f>
              <c:strCache>
                <c:ptCount val="1"/>
                <c:pt idx="0">
                  <c:v>Somme de Perdant</c:v>
                </c:pt>
              </c:strCache>
            </c:strRef>
          </c:tx>
          <c:spPr>
            <a:noFill/>
            <a:ln>
              <a:noFill/>
            </a:ln>
            <a:effectLst/>
          </c:spPr>
          <c:invertIfNegative val="0"/>
          <c:cat>
            <c:strRef>
              <c:f>'Calculs jour'!$A$15:$A$16</c:f>
              <c:strCache>
                <c:ptCount val="1"/>
                <c:pt idx="0">
                  <c:v>21/02/2020 08:34</c:v>
                </c:pt>
              </c:strCache>
            </c:strRef>
          </c:cat>
          <c:val>
            <c:numRef>
              <c:f>'Calculs jour'!$J$15:$J$16</c:f>
              <c:numCache>
                <c:formatCode>General</c:formatCode>
                <c:ptCount val="1"/>
                <c:pt idx="0">
                  <c:v>0</c:v>
                </c:pt>
              </c:numCache>
            </c:numRef>
          </c:val>
          <c:extLst>
            <c:ext xmlns:c16="http://schemas.microsoft.com/office/drawing/2014/chart" uri="{C3380CC4-5D6E-409C-BE32-E72D297353CC}">
              <c16:uniqueId val="{00000008-9E15-4E4F-BE19-610D995AEA71}"/>
            </c:ext>
          </c:extLst>
        </c:ser>
        <c:ser>
          <c:idx val="9"/>
          <c:order val="9"/>
          <c:tx>
            <c:strRef>
              <c:f>'Calculs jour'!$K$14</c:f>
              <c:strCache>
                <c:ptCount val="1"/>
                <c:pt idx="0">
                  <c:v>Nombre de Résultat</c:v>
                </c:pt>
              </c:strCache>
            </c:strRef>
          </c:tx>
          <c:spPr>
            <a:noFill/>
            <a:ln>
              <a:noFill/>
            </a:ln>
            <a:effectLst/>
          </c:spPr>
          <c:invertIfNegative val="0"/>
          <c:cat>
            <c:strRef>
              <c:f>'Calculs jour'!$A$15:$A$16</c:f>
              <c:strCache>
                <c:ptCount val="1"/>
                <c:pt idx="0">
                  <c:v>21/02/2020 08:34</c:v>
                </c:pt>
              </c:strCache>
            </c:strRef>
          </c:cat>
          <c:val>
            <c:numRef>
              <c:f>'Calculs jour'!$K$15:$K$16</c:f>
              <c:numCache>
                <c:formatCode>General</c:formatCode>
                <c:ptCount val="1"/>
                <c:pt idx="0">
                  <c:v>1</c:v>
                </c:pt>
              </c:numCache>
            </c:numRef>
          </c:val>
          <c:extLst>
            <c:ext xmlns:c16="http://schemas.microsoft.com/office/drawing/2014/chart" uri="{C3380CC4-5D6E-409C-BE32-E72D297353CC}">
              <c16:uniqueId val="{00000009-9E15-4E4F-BE19-610D995AEA71}"/>
            </c:ext>
          </c:extLst>
        </c:ser>
        <c:ser>
          <c:idx val="10"/>
          <c:order val="10"/>
          <c:tx>
            <c:strRef>
              <c:f>'Calculs jour'!$L$14</c:f>
              <c:strCache>
                <c:ptCount val="1"/>
                <c:pt idx="0">
                  <c:v>Somme de Points Gagnant</c:v>
                </c:pt>
              </c:strCache>
            </c:strRef>
          </c:tx>
          <c:spPr>
            <a:noFill/>
            <a:ln>
              <a:noFill/>
            </a:ln>
            <a:effectLst/>
          </c:spPr>
          <c:invertIfNegative val="0"/>
          <c:cat>
            <c:strRef>
              <c:f>'Calculs jour'!$A$15:$A$16</c:f>
              <c:strCache>
                <c:ptCount val="1"/>
                <c:pt idx="0">
                  <c:v>21/02/2020 08:34</c:v>
                </c:pt>
              </c:strCache>
            </c:strRef>
          </c:cat>
          <c:val>
            <c:numRef>
              <c:f>'Calculs jour'!$L$15:$L$16</c:f>
              <c:numCache>
                <c:formatCode>General</c:formatCode>
                <c:ptCount val="1"/>
                <c:pt idx="0">
                  <c:v>1</c:v>
                </c:pt>
              </c:numCache>
            </c:numRef>
          </c:val>
          <c:extLst>
            <c:ext xmlns:c16="http://schemas.microsoft.com/office/drawing/2014/chart" uri="{C3380CC4-5D6E-409C-BE32-E72D297353CC}">
              <c16:uniqueId val="{0000000A-9E15-4E4F-BE19-610D995AEA71}"/>
            </c:ext>
          </c:extLst>
        </c:ser>
        <c:ser>
          <c:idx val="11"/>
          <c:order val="11"/>
          <c:tx>
            <c:strRef>
              <c:f>'Calculs jour'!$M$14</c:f>
              <c:strCache>
                <c:ptCount val="1"/>
                <c:pt idx="0">
                  <c:v>Somme de Points perdants</c:v>
                </c:pt>
              </c:strCache>
            </c:strRef>
          </c:tx>
          <c:spPr>
            <a:noFill/>
            <a:ln>
              <a:noFill/>
            </a:ln>
            <a:effectLst/>
          </c:spPr>
          <c:invertIfNegative val="0"/>
          <c:cat>
            <c:strRef>
              <c:f>'Calculs jour'!$A$15:$A$16</c:f>
              <c:strCache>
                <c:ptCount val="1"/>
                <c:pt idx="0">
                  <c:v>21/02/2020 08:34</c:v>
                </c:pt>
              </c:strCache>
            </c:strRef>
          </c:cat>
          <c:val>
            <c:numRef>
              <c:f>'Calculs jour'!$M$15:$M$16</c:f>
              <c:numCache>
                <c:formatCode>General</c:formatCode>
                <c:ptCount val="1"/>
                <c:pt idx="0">
                  <c:v>0</c:v>
                </c:pt>
              </c:numCache>
            </c:numRef>
          </c:val>
          <c:extLst>
            <c:ext xmlns:c16="http://schemas.microsoft.com/office/drawing/2014/chart" uri="{C3380CC4-5D6E-409C-BE32-E72D297353CC}">
              <c16:uniqueId val="{0000000B-9E15-4E4F-BE19-610D995AEA71}"/>
            </c:ext>
          </c:extLst>
        </c:ser>
        <c:ser>
          <c:idx val="12"/>
          <c:order val="12"/>
          <c:tx>
            <c:strRef>
              <c:f>'Calculs jour'!$N$14</c:f>
              <c:strCache>
                <c:ptCount val="1"/>
                <c:pt idx="0">
                  <c:v>Moyenne de Points Gagnant</c:v>
                </c:pt>
              </c:strCache>
            </c:strRef>
          </c:tx>
          <c:spPr>
            <a:noFill/>
            <a:ln>
              <a:noFill/>
            </a:ln>
            <a:effectLst/>
          </c:spPr>
          <c:invertIfNegative val="0"/>
          <c:cat>
            <c:strRef>
              <c:f>'Calculs jour'!$A$15:$A$16</c:f>
              <c:strCache>
                <c:ptCount val="1"/>
                <c:pt idx="0">
                  <c:v>21/02/2020 08:34</c:v>
                </c:pt>
              </c:strCache>
            </c:strRef>
          </c:cat>
          <c:val>
            <c:numRef>
              <c:f>'Calculs jour'!$N$15:$N$16</c:f>
              <c:numCache>
                <c:formatCode>General</c:formatCode>
                <c:ptCount val="1"/>
                <c:pt idx="0">
                  <c:v>1</c:v>
                </c:pt>
              </c:numCache>
            </c:numRef>
          </c:val>
          <c:extLst>
            <c:ext xmlns:c16="http://schemas.microsoft.com/office/drawing/2014/chart" uri="{C3380CC4-5D6E-409C-BE32-E72D297353CC}">
              <c16:uniqueId val="{0000000C-9E15-4E4F-BE19-610D995AEA71}"/>
            </c:ext>
          </c:extLst>
        </c:ser>
        <c:ser>
          <c:idx val="13"/>
          <c:order val="13"/>
          <c:tx>
            <c:strRef>
              <c:f>'Calculs jour'!$O$14</c:f>
              <c:strCache>
                <c:ptCount val="1"/>
                <c:pt idx="0">
                  <c:v>Moyenne de Points perdants</c:v>
                </c:pt>
              </c:strCache>
            </c:strRef>
          </c:tx>
          <c:spPr>
            <a:noFill/>
            <a:ln>
              <a:noFill/>
            </a:ln>
            <a:effectLst/>
          </c:spPr>
          <c:invertIfNegative val="0"/>
          <c:cat>
            <c:strRef>
              <c:f>'Calculs jour'!$A$15:$A$16</c:f>
              <c:strCache>
                <c:ptCount val="1"/>
                <c:pt idx="0">
                  <c:v>21/02/2020 08:34</c:v>
                </c:pt>
              </c:strCache>
            </c:strRef>
          </c:cat>
          <c:val>
            <c:numRef>
              <c:f>'Calculs jour'!$O$15:$O$16</c:f>
              <c:numCache>
                <c:formatCode>General</c:formatCode>
                <c:ptCount val="1"/>
                <c:pt idx="0">
                  <c:v>#N/A</c:v>
                </c:pt>
              </c:numCache>
            </c:numRef>
          </c:val>
          <c:extLst>
            <c:ext xmlns:c16="http://schemas.microsoft.com/office/drawing/2014/chart" uri="{C3380CC4-5D6E-409C-BE32-E72D297353CC}">
              <c16:uniqueId val="{0000000D-9E15-4E4F-BE19-610D995AEA71}"/>
            </c:ext>
          </c:extLst>
        </c:ser>
        <c:ser>
          <c:idx val="14"/>
          <c:order val="14"/>
          <c:tx>
            <c:strRef>
              <c:f>'Calculs jour'!$P$14</c:f>
              <c:strCache>
                <c:ptCount val="1"/>
                <c:pt idx="0">
                  <c:v>Min. de Points Gagnant</c:v>
                </c:pt>
              </c:strCache>
            </c:strRef>
          </c:tx>
          <c:spPr>
            <a:noFill/>
            <a:ln>
              <a:noFill/>
            </a:ln>
            <a:effectLst/>
          </c:spPr>
          <c:invertIfNegative val="0"/>
          <c:cat>
            <c:strRef>
              <c:f>'Calculs jour'!$A$15:$A$16</c:f>
              <c:strCache>
                <c:ptCount val="1"/>
                <c:pt idx="0">
                  <c:v>21/02/2020 08:34</c:v>
                </c:pt>
              </c:strCache>
            </c:strRef>
          </c:cat>
          <c:val>
            <c:numRef>
              <c:f>'Calculs jour'!$P$15:$P$16</c:f>
              <c:numCache>
                <c:formatCode>General</c:formatCode>
                <c:ptCount val="1"/>
                <c:pt idx="0">
                  <c:v>1</c:v>
                </c:pt>
              </c:numCache>
            </c:numRef>
          </c:val>
          <c:extLst>
            <c:ext xmlns:c16="http://schemas.microsoft.com/office/drawing/2014/chart" uri="{C3380CC4-5D6E-409C-BE32-E72D297353CC}">
              <c16:uniqueId val="{0000000E-9E15-4E4F-BE19-610D995AEA71}"/>
            </c:ext>
          </c:extLst>
        </c:ser>
        <c:ser>
          <c:idx val="15"/>
          <c:order val="15"/>
          <c:tx>
            <c:strRef>
              <c:f>'Calculs jour'!$Q$14</c:f>
              <c:strCache>
                <c:ptCount val="1"/>
                <c:pt idx="0">
                  <c:v>Min. de Points perdants</c:v>
                </c:pt>
              </c:strCache>
            </c:strRef>
          </c:tx>
          <c:spPr>
            <a:noFill/>
            <a:ln>
              <a:noFill/>
            </a:ln>
            <a:effectLst/>
          </c:spPr>
          <c:invertIfNegative val="0"/>
          <c:cat>
            <c:strRef>
              <c:f>'Calculs jour'!$A$15:$A$16</c:f>
              <c:strCache>
                <c:ptCount val="1"/>
                <c:pt idx="0">
                  <c:v>21/02/2020 08:34</c:v>
                </c:pt>
              </c:strCache>
            </c:strRef>
          </c:cat>
          <c:val>
            <c:numRef>
              <c:f>'Calculs jour'!$Q$15:$Q$16</c:f>
              <c:numCache>
                <c:formatCode>General</c:formatCode>
                <c:ptCount val="1"/>
                <c:pt idx="0">
                  <c:v>0</c:v>
                </c:pt>
              </c:numCache>
            </c:numRef>
          </c:val>
          <c:extLst>
            <c:ext xmlns:c16="http://schemas.microsoft.com/office/drawing/2014/chart" uri="{C3380CC4-5D6E-409C-BE32-E72D297353CC}">
              <c16:uniqueId val="{0000000F-9E15-4E4F-BE19-610D995AEA71}"/>
            </c:ext>
          </c:extLst>
        </c:ser>
        <c:ser>
          <c:idx val="16"/>
          <c:order val="16"/>
          <c:tx>
            <c:strRef>
              <c:f>'Calculs jour'!$R$14</c:f>
              <c:strCache>
                <c:ptCount val="1"/>
                <c:pt idx="0">
                  <c:v>Max. de Points Gagnant</c:v>
                </c:pt>
              </c:strCache>
            </c:strRef>
          </c:tx>
          <c:spPr>
            <a:noFill/>
            <a:ln>
              <a:noFill/>
            </a:ln>
            <a:effectLst/>
          </c:spPr>
          <c:invertIfNegative val="0"/>
          <c:cat>
            <c:strRef>
              <c:f>'Calculs jour'!$A$15:$A$16</c:f>
              <c:strCache>
                <c:ptCount val="1"/>
                <c:pt idx="0">
                  <c:v>21/02/2020 08:34</c:v>
                </c:pt>
              </c:strCache>
            </c:strRef>
          </c:cat>
          <c:val>
            <c:numRef>
              <c:f>'Calculs jour'!$R$15:$R$16</c:f>
              <c:numCache>
                <c:formatCode>General</c:formatCode>
                <c:ptCount val="1"/>
                <c:pt idx="0">
                  <c:v>1</c:v>
                </c:pt>
              </c:numCache>
            </c:numRef>
          </c:val>
          <c:extLst>
            <c:ext xmlns:c16="http://schemas.microsoft.com/office/drawing/2014/chart" uri="{C3380CC4-5D6E-409C-BE32-E72D297353CC}">
              <c16:uniqueId val="{00000010-9E15-4E4F-BE19-610D995AEA71}"/>
            </c:ext>
          </c:extLst>
        </c:ser>
        <c:ser>
          <c:idx val="17"/>
          <c:order val="17"/>
          <c:tx>
            <c:strRef>
              <c:f>'Calculs jour'!$S$14</c:f>
              <c:strCache>
                <c:ptCount val="1"/>
                <c:pt idx="0">
                  <c:v>Max. de Points perdants</c:v>
                </c:pt>
              </c:strCache>
            </c:strRef>
          </c:tx>
          <c:spPr>
            <a:noFill/>
            <a:ln>
              <a:noFill/>
            </a:ln>
            <a:effectLst/>
          </c:spPr>
          <c:invertIfNegative val="0"/>
          <c:cat>
            <c:strRef>
              <c:f>'Calculs jour'!$A$15:$A$16</c:f>
              <c:strCache>
                <c:ptCount val="1"/>
                <c:pt idx="0">
                  <c:v>21/02/2020 08:34</c:v>
                </c:pt>
              </c:strCache>
            </c:strRef>
          </c:cat>
          <c:val>
            <c:numRef>
              <c:f>'Calculs jour'!$S$15:$S$16</c:f>
              <c:numCache>
                <c:formatCode>General</c:formatCode>
                <c:ptCount val="1"/>
                <c:pt idx="0">
                  <c:v>0</c:v>
                </c:pt>
              </c:numCache>
            </c:numRef>
          </c:val>
          <c:extLst>
            <c:ext xmlns:c16="http://schemas.microsoft.com/office/drawing/2014/chart" uri="{C3380CC4-5D6E-409C-BE32-E72D297353CC}">
              <c16:uniqueId val="{00000011-9E15-4E4F-BE19-610D995AEA71}"/>
            </c:ext>
          </c:extLst>
        </c:ser>
        <c:ser>
          <c:idx val="18"/>
          <c:order val="18"/>
          <c:tx>
            <c:strRef>
              <c:f>'Calculs jour'!$T$14</c:f>
              <c:strCache>
                <c:ptCount val="1"/>
                <c:pt idx="0">
                  <c:v>Moyenne de Note du trade</c:v>
                </c:pt>
              </c:strCache>
            </c:strRef>
          </c:tx>
          <c:spPr>
            <a:noFill/>
            <a:ln>
              <a:noFill/>
            </a:ln>
            <a:effectLst/>
          </c:spPr>
          <c:invertIfNegative val="0"/>
          <c:cat>
            <c:strRef>
              <c:f>'Calculs jour'!$A$15:$A$16</c:f>
              <c:strCache>
                <c:ptCount val="1"/>
                <c:pt idx="0">
                  <c:v>21/02/2020 08:34</c:v>
                </c:pt>
              </c:strCache>
            </c:strRef>
          </c:cat>
          <c:val>
            <c:numRef>
              <c:f>'Calculs jour'!$T$15:$T$16</c:f>
              <c:numCache>
                <c:formatCode>General</c:formatCode>
                <c:ptCount val="1"/>
                <c:pt idx="0">
                  <c:v>7</c:v>
                </c:pt>
              </c:numCache>
            </c:numRef>
          </c:val>
          <c:extLst>
            <c:ext xmlns:c16="http://schemas.microsoft.com/office/drawing/2014/chart" uri="{C3380CC4-5D6E-409C-BE32-E72D297353CC}">
              <c16:uniqueId val="{00000012-9E15-4E4F-BE19-610D995AEA71}"/>
            </c:ext>
          </c:extLst>
        </c:ser>
        <c:ser>
          <c:idx val="19"/>
          <c:order val="19"/>
          <c:tx>
            <c:strRef>
              <c:f>'Calculs jour'!$U$14</c:f>
              <c:strCache>
                <c:ptCount val="1"/>
                <c:pt idx="0">
                  <c:v>Somme de Levier</c:v>
                </c:pt>
              </c:strCache>
            </c:strRef>
          </c:tx>
          <c:spPr>
            <a:noFill/>
            <a:ln>
              <a:noFill/>
            </a:ln>
            <a:effectLst/>
          </c:spPr>
          <c:invertIfNegative val="0"/>
          <c:cat>
            <c:strRef>
              <c:f>'Calculs jour'!$A$15:$A$16</c:f>
              <c:strCache>
                <c:ptCount val="1"/>
                <c:pt idx="0">
                  <c:v>21/02/2020 08:34</c:v>
                </c:pt>
              </c:strCache>
            </c:strRef>
          </c:cat>
          <c:val>
            <c:numRef>
              <c:f>'Calculs jour'!$U$15:$U$16</c:f>
              <c:numCache>
                <c:formatCode>General</c:formatCode>
                <c:ptCount val="1"/>
                <c:pt idx="0">
                  <c:v>14.150954650860555</c:v>
                </c:pt>
              </c:numCache>
            </c:numRef>
          </c:val>
          <c:extLst>
            <c:ext xmlns:c16="http://schemas.microsoft.com/office/drawing/2014/chart" uri="{C3380CC4-5D6E-409C-BE32-E72D297353CC}">
              <c16:uniqueId val="{00000000-D87F-4696-864D-8DD10C1EEBAD}"/>
            </c:ext>
          </c:extLst>
        </c:ser>
        <c:dLbls>
          <c:showLegendKey val="0"/>
          <c:showVal val="0"/>
          <c:showCatName val="0"/>
          <c:showSerName val="0"/>
          <c:showPercent val="0"/>
          <c:showBubbleSize val="0"/>
        </c:dLbls>
        <c:gapWidth val="0"/>
        <c:overlap val="100"/>
        <c:axId val="583213071"/>
        <c:axId val="457085599"/>
      </c:barChart>
      <c:catAx>
        <c:axId val="1918809040"/>
        <c:scaling>
          <c:orientation val="minMax"/>
        </c:scaling>
        <c:delete val="1"/>
        <c:axPos val="t"/>
        <c:majorGridlines>
          <c:spPr>
            <a:ln w="9525" cap="flat" cmpd="sng" algn="ctr">
              <a:solidFill>
                <a:schemeClr val="dk1">
                  <a:lumMod val="15000"/>
                  <a:lumOff val="85000"/>
                </a:schemeClr>
              </a:solidFill>
              <a:round/>
            </a:ln>
            <a:effectLst/>
          </c:spPr>
        </c:majorGridlines>
        <c:numFmt formatCode="General" sourceLinked="1"/>
        <c:majorTickMark val="none"/>
        <c:minorTickMark val="none"/>
        <c:tickLblPos val="high"/>
        <c:crossAx val="1915982816"/>
        <c:crosses val="autoZero"/>
        <c:auto val="1"/>
        <c:lblAlgn val="ctr"/>
        <c:lblOffset val="100"/>
        <c:noMultiLvlLbl val="0"/>
      </c:catAx>
      <c:valAx>
        <c:axId val="1915982816"/>
        <c:scaling>
          <c:orientation val="maxMin"/>
        </c:scaling>
        <c:delete val="0"/>
        <c:axPos val="l"/>
        <c:majorGridlines>
          <c:spPr>
            <a:ln w="9525" cap="flat" cmpd="sng" algn="ctr">
              <a:solidFill>
                <a:schemeClr val="dk1">
                  <a:lumMod val="15000"/>
                  <a:lumOff val="85000"/>
                </a:schemeClr>
              </a:solidFill>
              <a:round/>
            </a:ln>
            <a:effectLst/>
          </c:spPr>
        </c:majorGridlines>
        <c:numFmt formatCode="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dk1">
                    <a:lumMod val="65000"/>
                    <a:lumOff val="35000"/>
                  </a:schemeClr>
                </a:solidFill>
                <a:latin typeface="+mn-lt"/>
                <a:ea typeface="+mn-ea"/>
                <a:cs typeface="+mn-cs"/>
              </a:defRPr>
            </a:pPr>
            <a:endParaRPr lang="fr-FR"/>
          </a:p>
        </c:txPr>
        <c:crossAx val="1918809040"/>
        <c:crosses val="autoZero"/>
        <c:crossBetween val="between"/>
      </c:valAx>
      <c:valAx>
        <c:axId val="457085599"/>
        <c:scaling>
          <c:orientation val="minMax"/>
          <c:max val="1"/>
          <c:min val="0"/>
        </c:scaling>
        <c:delete val="0"/>
        <c:axPos val="r"/>
        <c:numFmt formatCode="General" sourceLinked="1"/>
        <c:majorTickMark val="out"/>
        <c:minorTickMark val="none"/>
        <c:tickLblPos val="nextTo"/>
        <c:spPr>
          <a:noFill/>
          <a:ln>
            <a:noFill/>
          </a:ln>
          <a:effectLst/>
        </c:spPr>
        <c:txPr>
          <a:bodyPr rot="-60000000" spcFirstLastPara="1" vertOverflow="ellipsis" vert="horz" wrap="square" anchor="ctr" anchorCtr="1"/>
          <a:lstStyle/>
          <a:p>
            <a:pPr>
              <a:defRPr sz="900" b="0" i="0" u="none" strike="noStrike" kern="1200" baseline="0">
                <a:noFill/>
                <a:latin typeface="+mn-lt"/>
                <a:ea typeface="+mn-ea"/>
                <a:cs typeface="+mn-cs"/>
              </a:defRPr>
            </a:pPr>
            <a:endParaRPr lang="fr-FR"/>
          </a:p>
        </c:txPr>
        <c:crossAx val="583213071"/>
        <c:crosses val="max"/>
        <c:crossBetween val="between"/>
      </c:valAx>
      <c:catAx>
        <c:axId val="583213071"/>
        <c:scaling>
          <c:orientation val="minMax"/>
        </c:scaling>
        <c:delete val="1"/>
        <c:axPos val="b"/>
        <c:numFmt formatCode="General" sourceLinked="1"/>
        <c:majorTickMark val="out"/>
        <c:minorTickMark val="none"/>
        <c:tickLblPos val="nextTo"/>
        <c:crossAx val="457085599"/>
        <c:crosses val="autoZero"/>
        <c:auto val="1"/>
        <c:lblAlgn val="ctr"/>
        <c:lblOffset val="100"/>
        <c:noMultiLvlLbl val="0"/>
      </c:catAx>
      <c:spPr>
        <a:pattFill prst="ltDnDiag">
          <a:fgClr>
            <a:schemeClr val="dk1">
              <a:lumMod val="15000"/>
              <a:lumOff val="85000"/>
            </a:schemeClr>
          </a:fgClr>
          <a:bgClr>
            <a:schemeClr val="lt1"/>
          </a:bgClr>
        </a:pattFill>
        <a:ln>
          <a:noFill/>
        </a:ln>
        <a:effectLst/>
      </c:spPr>
    </c:plotArea>
    <c:plotVisOnly val="1"/>
    <c:dispBlanksAs val="zero"/>
    <c:showDLblsOverMax val="0"/>
    <c:extLst/>
  </c:chart>
  <c:spPr>
    <a:noFill/>
    <a:ln w="9525" cap="flat" cmpd="sng" algn="ctr">
      <a:noFill/>
      <a:round/>
    </a:ln>
    <a:effectLst/>
  </c:spPr>
  <c:txPr>
    <a:bodyPr/>
    <a:lstStyle/>
    <a:p>
      <a:pPr>
        <a:defRPr/>
      </a:pPr>
      <a:endParaRPr lang="fr-FR"/>
    </a:p>
  </c:txPr>
  <c:printSettings>
    <c:headerFooter/>
    <c:pageMargins b="0.75" l="0.7" r="0.7" t="0.75" header="0.3" footer="0.3"/>
    <c:pageSetup/>
  </c:printSettings>
  <c:extLst>
    <c:ext xmlns:c14="http://schemas.microsoft.com/office/drawing/2007/8/2/chart" uri="{781A3756-C4B2-4CAC-9D66-4F8BD8637D16}">
      <c14:pivotOptions>
        <c14:dropZoneFilter val="1"/>
        <c14:dropZoneCategories val="1"/>
        <c14:dropZoneData val="1"/>
      </c14:pivotOptions>
    </c:ext>
    <c:ext xmlns:c16="http://schemas.microsoft.com/office/drawing/2014/chart" uri="{E28EC0CA-F0BB-4C9C-879D-F8772B89E7AC}">
      <c16:pivotOptions16>
        <c16:showExpandCollapseFieldButtons val="1"/>
      </c16:pivotOptions16>
    </c:ext>
  </c:extLst>
</c:chartSpace>
</file>

<file path=xl/charts/chart1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title>
      <c:tx>
        <c:rich>
          <a:bodyPr rot="0" spcFirstLastPara="1" vertOverflow="ellipsis" vert="horz" wrap="square" anchor="ctr" anchorCtr="1"/>
          <a:lstStyle/>
          <a:p>
            <a:pPr>
              <a:defRPr lang="fr-FR" sz="1200" b="0" i="0" u="none" strike="noStrike" kern="1200" cap="none" spc="0" normalizeH="0" baseline="0">
                <a:solidFill>
                  <a:sysClr val="windowText" lastClr="000000">
                    <a:lumMod val="50000"/>
                    <a:lumOff val="50000"/>
                  </a:sysClr>
                </a:solidFill>
                <a:effectLst/>
                <a:latin typeface="Cambria" panose="02040503050406030204" pitchFamily="18" charset="0"/>
                <a:ea typeface="+mj-ea"/>
                <a:cs typeface="+mj-cs"/>
              </a:defRPr>
            </a:pPr>
            <a:r>
              <a:rPr lang="fr-FR" sz="1200" b="0" i="0" u="none" strike="noStrike" kern="1200" cap="none" spc="0" normalizeH="0" baseline="0">
                <a:solidFill>
                  <a:sysClr val="windowText" lastClr="000000">
                    <a:lumMod val="50000"/>
                    <a:lumOff val="50000"/>
                  </a:sysClr>
                </a:solidFill>
                <a:effectLst/>
                <a:latin typeface="Cambria" panose="02040503050406030204" pitchFamily="18" charset="0"/>
                <a:ea typeface="+mj-ea"/>
                <a:cs typeface="+mj-cs"/>
              </a:rPr>
              <a:t>Ratio gagnant perdant</a:t>
            </a:r>
          </a:p>
        </c:rich>
      </c:tx>
      <c:overlay val="0"/>
      <c:spPr>
        <a:noFill/>
        <a:ln>
          <a:noFill/>
        </a:ln>
        <a:effectLst/>
      </c:spPr>
      <c:txPr>
        <a:bodyPr rot="0" spcFirstLastPara="1" vertOverflow="ellipsis" vert="horz" wrap="square" anchor="ctr" anchorCtr="1"/>
        <a:lstStyle/>
        <a:p>
          <a:pPr>
            <a:defRPr lang="fr-FR" sz="1200" b="0" i="0" u="none" strike="noStrike" kern="1200" cap="none" spc="0" normalizeH="0" baseline="0">
              <a:solidFill>
                <a:sysClr val="windowText" lastClr="000000">
                  <a:lumMod val="50000"/>
                  <a:lumOff val="50000"/>
                </a:sysClr>
              </a:solidFill>
              <a:effectLst/>
              <a:latin typeface="Cambria" panose="02040503050406030204" pitchFamily="18" charset="0"/>
              <a:ea typeface="+mj-ea"/>
              <a:cs typeface="+mj-cs"/>
            </a:defRPr>
          </a:pPr>
          <a:endParaRPr lang="fr-FR"/>
        </a:p>
      </c:txPr>
    </c:title>
    <c:autoTitleDeleted val="0"/>
    <c:plotArea>
      <c:layout>
        <c:manualLayout>
          <c:layoutTarget val="inner"/>
          <c:xMode val="edge"/>
          <c:yMode val="edge"/>
          <c:x val="0.211172619047619"/>
          <c:y val="0.24517361111111111"/>
          <c:w val="0.59278216967376529"/>
          <c:h val="0.69115187121247157"/>
        </c:manualLayout>
      </c:layout>
      <c:doughnutChart>
        <c:varyColors val="1"/>
        <c:ser>
          <c:idx val="0"/>
          <c:order val="0"/>
          <c:explosion val="3"/>
          <c:dPt>
            <c:idx val="0"/>
            <c:bubble3D val="0"/>
            <c:spPr>
              <a:pattFill prst="ltUpDiag">
                <a:fgClr>
                  <a:schemeClr val="accent1"/>
                </a:fgClr>
                <a:bgClr>
                  <a:schemeClr val="accent1">
                    <a:lumMod val="20000"/>
                    <a:lumOff val="80000"/>
                  </a:schemeClr>
                </a:bgClr>
              </a:pattFill>
              <a:ln w="19050">
                <a:solidFill>
                  <a:schemeClr val="lt1"/>
                </a:solidFill>
              </a:ln>
              <a:effectLst>
                <a:innerShdw blurRad="114300">
                  <a:schemeClr val="accent1"/>
                </a:innerShdw>
              </a:effectLst>
            </c:spPr>
            <c:extLst>
              <c:ext xmlns:c16="http://schemas.microsoft.com/office/drawing/2014/chart" uri="{C3380CC4-5D6E-409C-BE32-E72D297353CC}">
                <c16:uniqueId val="{00000001-67B2-4F72-BC7A-342B602C11FF}"/>
              </c:ext>
            </c:extLst>
          </c:dPt>
          <c:dPt>
            <c:idx val="1"/>
            <c:bubble3D val="0"/>
            <c:spPr>
              <a:pattFill prst="ltUpDiag">
                <a:fgClr>
                  <a:schemeClr val="accent2"/>
                </a:fgClr>
                <a:bgClr>
                  <a:schemeClr val="accent2">
                    <a:lumMod val="20000"/>
                    <a:lumOff val="80000"/>
                  </a:schemeClr>
                </a:bgClr>
              </a:pattFill>
              <a:ln w="19050">
                <a:solidFill>
                  <a:schemeClr val="lt1"/>
                </a:solidFill>
              </a:ln>
              <a:effectLst>
                <a:innerShdw blurRad="114300">
                  <a:schemeClr val="accent2"/>
                </a:innerShdw>
              </a:effectLst>
            </c:spPr>
            <c:extLst>
              <c:ext xmlns:c16="http://schemas.microsoft.com/office/drawing/2014/chart" uri="{C3380CC4-5D6E-409C-BE32-E72D297353CC}">
                <c16:uniqueId val="{00000003-67B2-4F72-BC7A-342B602C11FF}"/>
              </c:ext>
            </c:extLst>
          </c:dPt>
          <c:dLbls>
            <c:numFmt formatCode="0%;&quot;&quot;;&quot;&quot;" sourceLinked="0"/>
            <c:spPr>
              <a:noFill/>
              <a:ln>
                <a:noFill/>
              </a:ln>
              <a:effectLst/>
            </c:spPr>
            <c:txPr>
              <a:bodyPr rot="0" spcFirstLastPara="1" vertOverflow="ellipsis" vert="horz" wrap="square" lIns="38100" tIns="19050" rIns="38100" bIns="19050" anchor="ctr" anchorCtr="1">
                <a:spAutoFit/>
              </a:bodyPr>
              <a:lstStyle/>
              <a:p>
                <a:pPr>
                  <a:defRPr sz="1200" b="0" i="0" u="none" strike="noStrike" kern="1200" baseline="0">
                    <a:solidFill>
                      <a:schemeClr val="tx1">
                        <a:lumMod val="75000"/>
                        <a:lumOff val="25000"/>
                      </a:schemeClr>
                    </a:solidFill>
                    <a:latin typeface="+mj-lt"/>
                    <a:ea typeface="+mn-ea"/>
                    <a:cs typeface="+mn-cs"/>
                  </a:defRPr>
                </a:pPr>
                <a:endParaRPr lang="fr-FR"/>
              </a:p>
            </c:txPr>
            <c:showLegendKey val="0"/>
            <c:showVal val="1"/>
            <c:showCatName val="0"/>
            <c:showSerName val="0"/>
            <c:showPercent val="0"/>
            <c:showBubbleSize val="0"/>
            <c:showLeaderLines val="1"/>
            <c:leaderLines>
              <c:spPr>
                <a:ln w="9525">
                  <a:solidFill>
                    <a:schemeClr val="tx1">
                      <a:lumMod val="35000"/>
                      <a:lumOff val="65000"/>
                    </a:schemeClr>
                  </a:solidFill>
                </a:ln>
                <a:effectLst/>
              </c:spPr>
            </c:leaderLines>
            <c:extLst>
              <c:ext xmlns:c15="http://schemas.microsoft.com/office/drawing/2012/chart" uri="{CE6537A1-D6FC-4f65-9D91-7224C49458BB}"/>
            </c:extLst>
          </c:dLbls>
          <c:cat>
            <c:strRef>
              <c:f>'Calculs jour'!$J$1:$J$2</c:f>
              <c:strCache>
                <c:ptCount val="2"/>
                <c:pt idx="0">
                  <c:v>Gagnant</c:v>
                </c:pt>
                <c:pt idx="1">
                  <c:v>Perdant</c:v>
                </c:pt>
              </c:strCache>
            </c:strRef>
          </c:cat>
          <c:val>
            <c:numRef>
              <c:f>'Calculs jour'!$K$1:$K$2</c:f>
              <c:numCache>
                <c:formatCode>0.00%</c:formatCode>
                <c:ptCount val="2"/>
                <c:pt idx="0">
                  <c:v>1</c:v>
                </c:pt>
                <c:pt idx="1">
                  <c:v>0</c:v>
                </c:pt>
              </c:numCache>
            </c:numRef>
          </c:val>
          <c:extLst>
            <c:ext xmlns:c16="http://schemas.microsoft.com/office/drawing/2014/chart" uri="{C3380CC4-5D6E-409C-BE32-E72D297353CC}">
              <c16:uniqueId val="{00000004-67B2-4F72-BC7A-342B602C11FF}"/>
            </c:ext>
          </c:extLst>
        </c:ser>
        <c:dLbls>
          <c:showLegendKey val="0"/>
          <c:showVal val="0"/>
          <c:showCatName val="0"/>
          <c:showSerName val="0"/>
          <c:showPercent val="0"/>
          <c:showBubbleSize val="0"/>
          <c:showLeaderLines val="1"/>
        </c:dLbls>
        <c:firstSliceAng val="180"/>
        <c:holeSize val="60"/>
      </c:doughnutChart>
      <c:spPr>
        <a:noFill/>
        <a:ln>
          <a:noFill/>
        </a:ln>
        <a:effectLst/>
      </c:spPr>
    </c:plotArea>
    <c:legend>
      <c:legendPos val="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legend>
    <c:plotVisOnly val="1"/>
    <c:dispBlanksAs val="gap"/>
    <c:showDLblsOverMax val="0"/>
    <c:extLst/>
  </c:chart>
  <c:spPr>
    <a:noFill/>
    <a:ln w="9525" cap="flat" cmpd="sng" algn="ctr">
      <a:noFill/>
      <a:round/>
    </a:ln>
    <a:effectLst/>
  </c:spPr>
  <c:txPr>
    <a:bodyPr/>
    <a:lstStyle/>
    <a:p>
      <a:pPr>
        <a:defRPr/>
      </a:pPr>
      <a:endParaRPr lang="fr-FR"/>
    </a:p>
  </c:txPr>
  <c:printSettings>
    <c:headerFooter/>
    <c:pageMargins b="0.75" l="0.7" r="0.7" t="0.75" header="0.3" footer="0.3"/>
    <c:pageSetup/>
  </c:printSettings>
</c:chartSpace>
</file>

<file path=xl/charts/chart1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title>
      <c:tx>
        <c:rich>
          <a:bodyPr rot="0" spcFirstLastPara="1" vertOverflow="ellipsis" vert="horz" wrap="square" anchor="ctr" anchorCtr="1"/>
          <a:lstStyle/>
          <a:p>
            <a:pPr algn="ctr" rtl="0">
              <a:defRPr lang="fr-FR" sz="1200" b="0" i="0" u="none" strike="noStrike" kern="1200" cap="none" spc="0" normalizeH="0" baseline="0">
                <a:solidFill>
                  <a:sysClr val="windowText" lastClr="000000">
                    <a:lumMod val="50000"/>
                    <a:lumOff val="50000"/>
                  </a:sysClr>
                </a:solidFill>
                <a:effectLst/>
                <a:latin typeface="Cambria" panose="02040503050406030204" pitchFamily="18" charset="0"/>
                <a:ea typeface="+mj-ea"/>
                <a:cs typeface="+mj-cs"/>
              </a:defRPr>
            </a:pPr>
            <a:r>
              <a:rPr lang="fr-FR" sz="1200" b="0" i="0" u="none" strike="noStrike" kern="1200" cap="none" spc="0" normalizeH="0" baseline="0">
                <a:solidFill>
                  <a:sysClr val="windowText" lastClr="000000">
                    <a:lumMod val="50000"/>
                    <a:lumOff val="50000"/>
                  </a:sysClr>
                </a:solidFill>
                <a:effectLst/>
                <a:latin typeface="Cambria" panose="02040503050406030204" pitchFamily="18" charset="0"/>
                <a:ea typeface="+mj-ea"/>
                <a:cs typeface="+mj-cs"/>
              </a:rPr>
              <a:t>Profit factor</a:t>
            </a:r>
          </a:p>
        </c:rich>
      </c:tx>
      <c:overlay val="0"/>
      <c:spPr>
        <a:noFill/>
        <a:ln>
          <a:noFill/>
        </a:ln>
        <a:effectLst/>
      </c:spPr>
      <c:txPr>
        <a:bodyPr rot="0" spcFirstLastPara="1" vertOverflow="ellipsis" vert="horz" wrap="square" anchor="ctr" anchorCtr="1"/>
        <a:lstStyle/>
        <a:p>
          <a:pPr algn="ctr" rtl="0">
            <a:defRPr lang="fr-FR" sz="1200" b="0" i="0" u="none" strike="noStrike" kern="1200" cap="none" spc="0" normalizeH="0" baseline="0">
              <a:solidFill>
                <a:sysClr val="windowText" lastClr="000000">
                  <a:lumMod val="50000"/>
                  <a:lumOff val="50000"/>
                </a:sysClr>
              </a:solidFill>
              <a:effectLst/>
              <a:latin typeface="Cambria" panose="02040503050406030204" pitchFamily="18" charset="0"/>
              <a:ea typeface="+mj-ea"/>
              <a:cs typeface="+mj-cs"/>
            </a:defRPr>
          </a:pPr>
          <a:endParaRPr lang="fr-FR"/>
        </a:p>
      </c:txPr>
    </c:title>
    <c:autoTitleDeleted val="0"/>
    <c:plotArea>
      <c:layout>
        <c:manualLayout>
          <c:layoutTarget val="inner"/>
          <c:xMode val="edge"/>
          <c:yMode val="edge"/>
          <c:x val="0.18719047619047618"/>
          <c:y val="0.25247222222222221"/>
          <c:w val="0.64073809523809522"/>
          <c:h val="0.74752777777777779"/>
        </c:manualLayout>
      </c:layout>
      <c:doughnutChart>
        <c:varyColors val="1"/>
        <c:ser>
          <c:idx val="0"/>
          <c:order val="0"/>
          <c:explosion val="3"/>
          <c:dPt>
            <c:idx val="0"/>
            <c:bubble3D val="0"/>
            <c:spPr>
              <a:pattFill prst="ltUpDiag">
                <a:fgClr>
                  <a:schemeClr val="accent1"/>
                </a:fgClr>
                <a:bgClr>
                  <a:schemeClr val="accent1">
                    <a:lumMod val="20000"/>
                    <a:lumOff val="80000"/>
                  </a:schemeClr>
                </a:bgClr>
              </a:pattFill>
              <a:ln w="19050">
                <a:solidFill>
                  <a:schemeClr val="lt1"/>
                </a:solidFill>
              </a:ln>
              <a:effectLst>
                <a:innerShdw blurRad="114300">
                  <a:schemeClr val="accent1"/>
                </a:innerShdw>
              </a:effectLst>
            </c:spPr>
            <c:extLst>
              <c:ext xmlns:c16="http://schemas.microsoft.com/office/drawing/2014/chart" uri="{C3380CC4-5D6E-409C-BE32-E72D297353CC}">
                <c16:uniqueId val="{00000001-11B9-4CD4-83E7-D44A2C8F0591}"/>
              </c:ext>
            </c:extLst>
          </c:dPt>
          <c:dPt>
            <c:idx val="1"/>
            <c:bubble3D val="0"/>
            <c:spPr>
              <a:pattFill prst="ltUpDiag">
                <a:fgClr>
                  <a:schemeClr val="accent2"/>
                </a:fgClr>
                <a:bgClr>
                  <a:schemeClr val="accent2">
                    <a:lumMod val="20000"/>
                    <a:lumOff val="80000"/>
                  </a:schemeClr>
                </a:bgClr>
              </a:pattFill>
              <a:ln w="19050">
                <a:solidFill>
                  <a:schemeClr val="lt1"/>
                </a:solidFill>
              </a:ln>
              <a:effectLst>
                <a:innerShdw blurRad="114300">
                  <a:schemeClr val="accent2"/>
                </a:innerShdw>
              </a:effectLst>
            </c:spPr>
            <c:extLst>
              <c:ext xmlns:c16="http://schemas.microsoft.com/office/drawing/2014/chart" uri="{C3380CC4-5D6E-409C-BE32-E72D297353CC}">
                <c16:uniqueId val="{00000003-11B9-4CD4-83E7-D44A2C8F0591}"/>
              </c:ext>
            </c:extLst>
          </c:dPt>
          <c:dLbls>
            <c:dLbl>
              <c:idx val="1"/>
              <c:numFmt formatCode="0\ &quot;Pts&quot;;\-\ 0\ &quot;Pts&quot;;&quot;&quot;" sourceLinked="0"/>
              <c:spPr>
                <a:noFill/>
                <a:ln>
                  <a:noFill/>
                </a:ln>
                <a:effectLst/>
              </c:spPr>
              <c:txPr>
                <a:bodyPr rot="0" spcFirstLastPara="1" vertOverflow="overflow" horzOverflow="overflow" vert="horz" wrap="square" lIns="38100" tIns="19050" rIns="38100" bIns="19050" anchor="ctr" anchorCtr="1">
                  <a:noAutofit/>
                </a:bodyPr>
                <a:lstStyle/>
                <a:p>
                  <a:pPr>
                    <a:defRPr sz="900" b="0" i="0" u="none" strike="noStrike" kern="1200" baseline="0">
                      <a:solidFill>
                        <a:schemeClr val="tx1">
                          <a:lumMod val="75000"/>
                          <a:lumOff val="25000"/>
                        </a:schemeClr>
                      </a:solidFill>
                      <a:latin typeface="+mn-lt"/>
                      <a:ea typeface="+mn-ea"/>
                      <a:cs typeface="+mn-cs"/>
                    </a:defRPr>
                  </a:pPr>
                  <a:endParaRPr lang="fr-FR"/>
                </a:p>
              </c:txPr>
              <c:showLegendKey val="0"/>
              <c:showVal val="1"/>
              <c:showCatName val="0"/>
              <c:showSerName val="0"/>
              <c:showPercent val="0"/>
              <c:showBubbleSize val="0"/>
              <c:extLst>
                <c:ext xmlns:c15="http://schemas.microsoft.com/office/drawing/2012/chart" uri="{CE6537A1-D6FC-4f65-9D91-7224C49458BB}">
                  <c15:spPr xmlns:c15="http://schemas.microsoft.com/office/drawing/2012/chart">
                    <a:prstGeom prst="rect">
                      <a:avLst/>
                    </a:prstGeom>
                    <a:noFill/>
                    <a:ln>
                      <a:noFill/>
                    </a:ln>
                  </c15:spPr>
                </c:ext>
                <c:ext xmlns:c16="http://schemas.microsoft.com/office/drawing/2014/chart" uri="{C3380CC4-5D6E-409C-BE32-E72D297353CC}">
                  <c16:uniqueId val="{00000003-11B9-4CD4-83E7-D44A2C8F0591}"/>
                </c:ext>
              </c:extLst>
            </c:dLbl>
            <c:numFmt formatCode="0\ &quot;Pts&quot;;\-\ 0\ &quot;Pts&quot;;&quot;&quot;" sourceLinked="0"/>
            <c:spPr>
              <a:noFill/>
              <a:ln>
                <a:noFill/>
              </a:ln>
              <a:effectLst/>
            </c:spPr>
            <c:txPr>
              <a:bodyPr rot="0" spcFirstLastPara="1" vertOverflow="overflow" horzOverflow="overflow"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fr-FR"/>
              </a:p>
            </c:txPr>
            <c:showLegendKey val="0"/>
            <c:showVal val="1"/>
            <c:showCatName val="0"/>
            <c:showSerName val="0"/>
            <c:showPercent val="0"/>
            <c:showBubbleSize val="0"/>
            <c:showLeaderLines val="1"/>
            <c:leaderLines>
              <c:spPr>
                <a:ln w="9525">
                  <a:solidFill>
                    <a:schemeClr val="tx1">
                      <a:lumMod val="35000"/>
                      <a:lumOff val="65000"/>
                    </a:schemeClr>
                  </a:solidFill>
                </a:ln>
                <a:effectLst/>
              </c:spPr>
            </c:leaderLines>
            <c:extLst>
              <c:ext xmlns:c15="http://schemas.microsoft.com/office/drawing/2012/chart" uri="{CE6537A1-D6FC-4f65-9D91-7224C49458BB}"/>
            </c:extLst>
          </c:dLbls>
          <c:cat>
            <c:strRef>
              <c:f>'Calculs jour'!$L$1:$L$2</c:f>
              <c:strCache>
                <c:ptCount val="2"/>
                <c:pt idx="0">
                  <c:v>Somme Gains</c:v>
                </c:pt>
                <c:pt idx="1">
                  <c:v>Somme Pertes</c:v>
                </c:pt>
              </c:strCache>
            </c:strRef>
          </c:cat>
          <c:val>
            <c:numRef>
              <c:f>'Calculs jour'!$M$1:$M$2</c:f>
              <c:numCache>
                <c:formatCode>0.00</c:formatCode>
                <c:ptCount val="2"/>
                <c:pt idx="0">
                  <c:v>1</c:v>
                </c:pt>
                <c:pt idx="1">
                  <c:v>0</c:v>
                </c:pt>
              </c:numCache>
            </c:numRef>
          </c:val>
          <c:extLst>
            <c:ext xmlns:c16="http://schemas.microsoft.com/office/drawing/2014/chart" uri="{C3380CC4-5D6E-409C-BE32-E72D297353CC}">
              <c16:uniqueId val="{00000004-11B9-4CD4-83E7-D44A2C8F0591}"/>
            </c:ext>
          </c:extLst>
        </c:ser>
        <c:dLbls>
          <c:showLegendKey val="0"/>
          <c:showVal val="0"/>
          <c:showCatName val="0"/>
          <c:showSerName val="0"/>
          <c:showPercent val="0"/>
          <c:showBubbleSize val="0"/>
          <c:showLeaderLines val="1"/>
        </c:dLbls>
        <c:firstSliceAng val="0"/>
        <c:holeSize val="60"/>
      </c:doughnutChart>
      <c:spPr>
        <a:noFill/>
        <a:ln>
          <a:noFill/>
        </a:ln>
        <a:effectLst/>
      </c:spPr>
    </c:plotArea>
    <c:legend>
      <c:legendPos val="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legend>
    <c:plotVisOnly val="1"/>
    <c:dispBlanksAs val="gap"/>
    <c:showDLblsOverMax val="0"/>
    <c:extLst/>
  </c:chart>
  <c:spPr>
    <a:noFill/>
    <a:ln w="9525" cap="flat" cmpd="sng" algn="ctr">
      <a:noFill/>
      <a:round/>
    </a:ln>
    <a:effectLst/>
  </c:spPr>
  <c:txPr>
    <a:bodyPr/>
    <a:lstStyle/>
    <a:p>
      <a:pPr>
        <a:defRPr/>
      </a:pPr>
      <a:endParaRPr lang="fr-FR"/>
    </a:p>
  </c:txPr>
  <c:printSettings>
    <c:headerFooter/>
    <c:pageMargins b="0.75" l="0.7" r="0.7" t="0.75" header="0.3" footer="0.3"/>
    <c:pageSetup/>
  </c:printSettings>
</c:chartSpace>
</file>

<file path=xl/charts/chart1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title>
      <c:tx>
        <c:rich>
          <a:bodyPr rot="0" spcFirstLastPara="1" vertOverflow="ellipsis" vert="horz" wrap="square" anchor="ctr" anchorCtr="1"/>
          <a:lstStyle/>
          <a:p>
            <a:pPr marL="0" marR="0" lvl="0" indent="0" algn="ctr" defTabSz="914400" rtl="0" eaLnBrk="1" fontAlgn="auto" latinLnBrk="0" hangingPunct="1">
              <a:lnSpc>
                <a:spcPct val="100000"/>
              </a:lnSpc>
              <a:spcBef>
                <a:spcPts val="0"/>
              </a:spcBef>
              <a:spcAft>
                <a:spcPts val="0"/>
              </a:spcAft>
              <a:buClrTx/>
              <a:buSzTx/>
              <a:buFontTx/>
              <a:buNone/>
              <a:tabLst/>
              <a:defRPr sz="1600" b="1" i="0" u="none" strike="noStrike" kern="1200" cap="none" spc="0" normalizeH="0" baseline="0">
                <a:solidFill>
                  <a:sysClr val="windowText" lastClr="000000">
                    <a:lumMod val="50000"/>
                    <a:lumOff val="50000"/>
                  </a:sysClr>
                </a:solidFill>
                <a:latin typeface="+mj-lt"/>
                <a:ea typeface="+mj-ea"/>
                <a:cs typeface="+mj-cs"/>
              </a:defRPr>
            </a:pPr>
            <a:r>
              <a:rPr lang="fr-FR" sz="1200" b="0" i="0" baseline="0">
                <a:effectLst/>
              </a:rPr>
              <a:t>Gagnant Perdant</a:t>
            </a:r>
            <a:endParaRPr lang="fr-FR" sz="1200">
              <a:effectLst/>
            </a:endParaRPr>
          </a:p>
        </c:rich>
      </c:tx>
      <c:layout>
        <c:manualLayout>
          <c:xMode val="edge"/>
          <c:yMode val="edge"/>
          <c:x val="0.21765702361560893"/>
          <c:y val="3.1381213272215651E-2"/>
        </c:manualLayout>
      </c:layout>
      <c:overlay val="0"/>
      <c:spPr>
        <a:noFill/>
        <a:ln>
          <a:noFill/>
        </a:ln>
        <a:effectLst/>
      </c:spPr>
    </c:title>
    <c:autoTitleDeleted val="0"/>
    <c:plotArea>
      <c:layout>
        <c:manualLayout>
          <c:layoutTarget val="inner"/>
          <c:xMode val="edge"/>
          <c:yMode val="edge"/>
          <c:x val="0.19830446178217695"/>
          <c:y val="0.17469243905009527"/>
          <c:w val="0.40242549919989984"/>
          <c:h val="0.76889732731785698"/>
        </c:manualLayout>
      </c:layout>
      <c:barChart>
        <c:barDir val="col"/>
        <c:grouping val="clustered"/>
        <c:varyColors val="0"/>
        <c:ser>
          <c:idx val="0"/>
          <c:order val="0"/>
          <c:tx>
            <c:v>Serie 1</c:v>
          </c:tx>
          <c:spPr>
            <a:solidFill>
              <a:srgbClr val="C00000">
                <a:alpha val="32000"/>
              </a:srgbClr>
            </a:solidFill>
            <a:ln>
              <a:noFill/>
            </a:ln>
            <a:effectLst/>
          </c:spPr>
          <c:invertIfNegative val="0"/>
          <c:dPt>
            <c:idx val="0"/>
            <c:invertIfNegative val="0"/>
            <c:bubble3D val="0"/>
            <c:spPr>
              <a:pattFill prst="ltUpDiag">
                <a:fgClr>
                  <a:srgbClr val="4F81BD"/>
                </a:fgClr>
                <a:bgClr>
                  <a:sysClr val="window" lastClr="FFFFFF"/>
                </a:bgClr>
              </a:pattFill>
              <a:ln>
                <a:noFill/>
              </a:ln>
              <a:effectLst>
                <a:innerShdw blurRad="114300">
                  <a:srgbClr val="0070C0"/>
                </a:innerShdw>
              </a:effectLst>
            </c:spPr>
            <c:extLst>
              <c:ext xmlns:c16="http://schemas.microsoft.com/office/drawing/2014/chart" uri="{C3380CC4-5D6E-409C-BE32-E72D297353CC}">
                <c16:uniqueId val="{00000001-1FBC-461A-85AF-62BF1688B45F}"/>
              </c:ext>
            </c:extLst>
          </c:dPt>
          <c:dPt>
            <c:idx val="1"/>
            <c:invertIfNegative val="0"/>
            <c:bubble3D val="0"/>
            <c:spPr>
              <a:pattFill prst="ltUpDiag">
                <a:fgClr>
                  <a:srgbClr val="C00000"/>
                </a:fgClr>
                <a:bgClr>
                  <a:sysClr val="window" lastClr="FFFFFF"/>
                </a:bgClr>
              </a:pattFill>
              <a:ln>
                <a:noFill/>
              </a:ln>
              <a:effectLst>
                <a:innerShdw blurRad="114300">
                  <a:srgbClr val="C00000"/>
                </a:innerShdw>
              </a:effectLst>
            </c:spPr>
            <c:extLst>
              <c:ext xmlns:c16="http://schemas.microsoft.com/office/drawing/2014/chart" uri="{C3380CC4-5D6E-409C-BE32-E72D297353CC}">
                <c16:uniqueId val="{00000003-1FBC-461A-85AF-62BF1688B45F}"/>
              </c:ext>
            </c:extLst>
          </c:dPt>
          <c:dLbls>
            <c:dLbl>
              <c:idx val="0"/>
              <c:layout>
                <c:manualLayout>
                  <c:x val="0.31430072743659071"/>
                  <c:y val="5.7140058765915769E-2"/>
                </c:manualLayout>
              </c:layout>
              <c:tx>
                <c:rich>
                  <a:bodyPr wrap="square" lIns="38100" tIns="19050" rIns="38100" bIns="19050" anchor="ctr">
                    <a:noAutofit/>
                  </a:bodyPr>
                  <a:lstStyle/>
                  <a:p>
                    <a:pPr>
                      <a:defRPr/>
                    </a:pPr>
                    <a:fld id="{1F67117F-0DC9-4848-B332-3C5BD113F0BB}" type="VALUE">
                      <a:rPr lang="en-US">
                        <a:solidFill>
                          <a:schemeClr val="accent1"/>
                        </a:solidFill>
                        <a:latin typeface="+mj-lt"/>
                      </a:rPr>
                      <a:pPr>
                        <a:defRPr/>
                      </a:pPr>
                      <a:t>[VALEUR]</a:t>
                    </a:fld>
                    <a:endParaRPr lang="fr-FR"/>
                  </a:p>
                </c:rich>
              </c:tx>
              <c:numFmt formatCode="0.0\ &quot;Pts Moy&quot;;\-\ 0.0\ &quot;Pts Moy&quot;;&quot;&quot;" sourceLinked="0"/>
              <c:spPr>
                <a:noFill/>
                <a:ln>
                  <a:noFill/>
                </a:ln>
                <a:effectLst/>
              </c:spPr>
              <c:showLegendKey val="0"/>
              <c:showVal val="1"/>
              <c:showCatName val="0"/>
              <c:showSerName val="0"/>
              <c:showPercent val="0"/>
              <c:showBubbleSize val="0"/>
              <c:extLst>
                <c:ext xmlns:c15="http://schemas.microsoft.com/office/drawing/2012/chart" uri="{CE6537A1-D6FC-4f65-9D91-7224C49458BB}">
                  <c15:layout>
                    <c:manualLayout>
                      <c:w val="0.36250675936655069"/>
                      <c:h val="9.5112931469444675E-2"/>
                    </c:manualLayout>
                  </c15:layout>
                  <c15:dlblFieldTable/>
                  <c15:showDataLabelsRange val="0"/>
                </c:ext>
                <c:ext xmlns:c16="http://schemas.microsoft.com/office/drawing/2014/chart" uri="{C3380CC4-5D6E-409C-BE32-E72D297353CC}">
                  <c16:uniqueId val="{00000001-1FBC-461A-85AF-62BF1688B45F}"/>
                </c:ext>
              </c:extLst>
            </c:dLbl>
            <c:dLbl>
              <c:idx val="1"/>
              <c:layout>
                <c:manualLayout>
                  <c:x val="0.28600167374790775"/>
                  <c:y val="5.8069232976186942E-2"/>
                </c:manualLayout>
              </c:layout>
              <c:tx>
                <c:rich>
                  <a:bodyPr wrap="square" lIns="38100" tIns="19050" rIns="38100" bIns="19050" anchor="ctr">
                    <a:noAutofit/>
                  </a:bodyPr>
                  <a:lstStyle/>
                  <a:p>
                    <a:pPr>
                      <a:defRPr/>
                    </a:pPr>
                    <a:fld id="{93319247-75DA-4FBD-B88F-EA95856603A0}" type="VALUE">
                      <a:rPr lang="en-US">
                        <a:solidFill>
                          <a:srgbClr val="C00000"/>
                        </a:solidFill>
                        <a:latin typeface="+mj-lt"/>
                      </a:rPr>
                      <a:pPr>
                        <a:defRPr/>
                      </a:pPr>
                      <a:t>[VALEUR]</a:t>
                    </a:fld>
                    <a:endParaRPr lang="fr-FR"/>
                  </a:p>
                </c:rich>
              </c:tx>
              <c:numFmt formatCode="0.0\ &quot;Pts Moy&quot;;\-\ 0.0\ &quot;Pts Moy&quot;;&quot;&quot;" sourceLinked="0"/>
              <c:spPr>
                <a:noFill/>
                <a:ln>
                  <a:noFill/>
                </a:ln>
                <a:effectLst/>
              </c:spPr>
              <c:showLegendKey val="0"/>
              <c:showVal val="1"/>
              <c:showCatName val="0"/>
              <c:showSerName val="0"/>
              <c:showPercent val="0"/>
              <c:showBubbleSize val="0"/>
              <c:extLst>
                <c:ext xmlns:c15="http://schemas.microsoft.com/office/drawing/2012/chart" uri="{CE6537A1-D6FC-4f65-9D91-7224C49458BB}">
                  <c15:layout>
                    <c:manualLayout>
                      <c:w val="0.31966653791682764"/>
                      <c:h val="8.0035615706526564E-2"/>
                    </c:manualLayout>
                  </c15:layout>
                  <c15:dlblFieldTable/>
                  <c15:showDataLabelsRange val="0"/>
                </c:ext>
                <c:ext xmlns:c16="http://schemas.microsoft.com/office/drawing/2014/chart" uri="{C3380CC4-5D6E-409C-BE32-E72D297353CC}">
                  <c16:uniqueId val="{00000003-1FBC-461A-85AF-62BF1688B45F}"/>
                </c:ext>
              </c:extLst>
            </c:dLbl>
            <c:numFmt formatCode="0.0\ &quot;Pts Moy&quot;;\-\ 0.0\ &quot;Pts Moy&quot;;&quot;&quot;" sourceLinked="0"/>
            <c:spPr>
              <a:noFill/>
              <a:ln>
                <a:noFill/>
              </a:ln>
              <a:effectLst/>
            </c:sp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a:solidFill>
                        <a:sysClr val="window" lastClr="FFFFFF">
                          <a:lumMod val="65000"/>
                        </a:sysClr>
                      </a:solidFill>
                    </a:ln>
                  </c:spPr>
                </c15:leaderLines>
              </c:ext>
            </c:extLst>
          </c:dLbls>
          <c:val>
            <c:numRef>
              <c:f>'Calculs jour'!$P$1:$P$2</c:f>
              <c:numCache>
                <c:formatCode>0.00</c:formatCode>
                <c:ptCount val="2"/>
                <c:pt idx="0">
                  <c:v>1</c:v>
                </c:pt>
                <c:pt idx="1">
                  <c:v>0</c:v>
                </c:pt>
              </c:numCache>
            </c:numRef>
          </c:val>
          <c:extLst>
            <c:ext xmlns:c16="http://schemas.microsoft.com/office/drawing/2014/chart" uri="{C3380CC4-5D6E-409C-BE32-E72D297353CC}">
              <c16:uniqueId val="{00000004-1FBC-461A-85AF-62BF1688B45F}"/>
            </c:ext>
          </c:extLst>
        </c:ser>
        <c:ser>
          <c:idx val="1"/>
          <c:order val="1"/>
          <c:tx>
            <c:v>Serie 2</c:v>
          </c:tx>
          <c:invertIfNegative val="0"/>
          <c:dPt>
            <c:idx val="0"/>
            <c:invertIfNegative val="0"/>
            <c:bubble3D val="0"/>
            <c:spPr>
              <a:solidFill>
                <a:srgbClr val="4F81BD">
                  <a:alpha val="20000"/>
                </a:srgbClr>
              </a:solidFill>
              <a:ln>
                <a:noFill/>
              </a:ln>
            </c:spPr>
            <c:extLst>
              <c:ext xmlns:c16="http://schemas.microsoft.com/office/drawing/2014/chart" uri="{C3380CC4-5D6E-409C-BE32-E72D297353CC}">
                <c16:uniqueId val="{00000006-1FBC-461A-85AF-62BF1688B45F}"/>
              </c:ext>
            </c:extLst>
          </c:dPt>
          <c:dPt>
            <c:idx val="1"/>
            <c:invertIfNegative val="0"/>
            <c:bubble3D val="0"/>
            <c:spPr>
              <a:solidFill>
                <a:srgbClr val="C00000">
                  <a:alpha val="20000"/>
                </a:srgbClr>
              </a:solidFill>
            </c:spPr>
            <c:extLst>
              <c:ext xmlns:c16="http://schemas.microsoft.com/office/drawing/2014/chart" uri="{C3380CC4-5D6E-409C-BE32-E72D297353CC}">
                <c16:uniqueId val="{00000008-1FBC-461A-85AF-62BF1688B45F}"/>
              </c:ext>
            </c:extLst>
          </c:dPt>
          <c:dLbls>
            <c:dLbl>
              <c:idx val="0"/>
              <c:layout>
                <c:manualLayout>
                  <c:x val="1.2263583108021114E-2"/>
                  <c:y val="5.528349113069974E-2"/>
                </c:manualLayout>
              </c:layout>
              <c:tx>
                <c:rich>
                  <a:bodyPr wrap="square" lIns="38100" tIns="19050" rIns="38100" bIns="19050" anchor="ctr">
                    <a:noAutofit/>
                  </a:bodyPr>
                  <a:lstStyle/>
                  <a:p>
                    <a:pPr>
                      <a:defRPr/>
                    </a:pPr>
                    <a:fld id="{48527DF9-69FD-4EFC-A52D-8847DEA5AEF1}" type="VALUE">
                      <a:rPr lang="en-US">
                        <a:solidFill>
                          <a:schemeClr val="accent1"/>
                        </a:solidFill>
                        <a:latin typeface="+mj-lt"/>
                      </a:rPr>
                      <a:pPr>
                        <a:defRPr/>
                      </a:pPr>
                      <a:t>[VALEUR]</a:t>
                    </a:fld>
                    <a:endParaRPr lang="fr-FR"/>
                  </a:p>
                </c:rich>
              </c:tx>
              <c:numFmt formatCode="0.0\ &quot;Pts Max&quot;;\-\ 0.0\ &quot;Pts Max&quot;;&quot;&quot;" sourceLinked="0"/>
              <c:spPr>
                <a:noFill/>
                <a:ln>
                  <a:noFill/>
                </a:ln>
                <a:effectLst/>
              </c:spPr>
              <c:dLblPos val="outEnd"/>
              <c:showLegendKey val="0"/>
              <c:showVal val="1"/>
              <c:showCatName val="0"/>
              <c:showSerName val="0"/>
              <c:showPercent val="0"/>
              <c:showBubbleSize val="0"/>
              <c:extLst>
                <c:ext xmlns:c15="http://schemas.microsoft.com/office/drawing/2012/chart" uri="{CE6537A1-D6FC-4f65-9D91-7224C49458BB}">
                  <c15:layout>
                    <c:manualLayout>
                      <c:w val="0.30337646452941924"/>
                      <c:h val="0.15039642260014444"/>
                    </c:manualLayout>
                  </c15:layout>
                  <c15:dlblFieldTable/>
                  <c15:showDataLabelsRange val="0"/>
                </c:ext>
                <c:ext xmlns:c16="http://schemas.microsoft.com/office/drawing/2014/chart" uri="{C3380CC4-5D6E-409C-BE32-E72D297353CC}">
                  <c16:uniqueId val="{00000006-1FBC-461A-85AF-62BF1688B45F}"/>
                </c:ext>
              </c:extLst>
            </c:dLbl>
            <c:dLbl>
              <c:idx val="1"/>
              <c:tx>
                <c:rich>
                  <a:bodyPr/>
                  <a:lstStyle/>
                  <a:p>
                    <a:fld id="{B8F3D852-481D-4DBA-B361-60F794324531}" type="VALUE">
                      <a:rPr lang="en-US">
                        <a:solidFill>
                          <a:srgbClr val="C00000"/>
                        </a:solidFill>
                        <a:latin typeface="+mj-lt"/>
                      </a:rPr>
                      <a:pPr/>
                      <a:t>[VALEUR]</a:t>
                    </a:fld>
                    <a:endParaRPr lang="fr-FR"/>
                  </a:p>
                </c:rich>
              </c:tx>
              <c:dLblPos val="outEnd"/>
              <c:showLegendKey val="0"/>
              <c:showVal val="1"/>
              <c:showCatName val="0"/>
              <c:showSerName val="0"/>
              <c:showPercent val="0"/>
              <c:showBubbleSize val="0"/>
              <c:extLst>
                <c:ext xmlns:c15="http://schemas.microsoft.com/office/drawing/2012/chart" uri="{CE6537A1-D6FC-4f65-9D91-7224C49458BB}">
                  <c15:dlblFieldTable/>
                  <c15:showDataLabelsRange val="0"/>
                </c:ext>
                <c:ext xmlns:c16="http://schemas.microsoft.com/office/drawing/2014/chart" uri="{C3380CC4-5D6E-409C-BE32-E72D297353CC}">
                  <c16:uniqueId val="{00000008-1FBC-461A-85AF-62BF1688B45F}"/>
                </c:ext>
              </c:extLst>
            </c:dLbl>
            <c:numFmt formatCode="0.0\ &quot;Pts Max&quot;;\-\ 0.0\ &quot;Pts Max&quot;;&quot;&quot;" sourceLinked="0"/>
            <c:spPr>
              <a:noFill/>
              <a:ln>
                <a:noFill/>
              </a:ln>
              <a:effectLst/>
            </c:spPr>
            <c:dLblPos val="out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a:noFill/>
                    </a:ln>
                  </c:spPr>
                </c15:leaderLines>
              </c:ext>
            </c:extLst>
          </c:dLbls>
          <c:val>
            <c:numRef>
              <c:f>'Calculs jour'!$U$1:$U$2</c:f>
              <c:numCache>
                <c:formatCode>0.00</c:formatCode>
                <c:ptCount val="2"/>
                <c:pt idx="0">
                  <c:v>1</c:v>
                </c:pt>
                <c:pt idx="1">
                  <c:v>0</c:v>
                </c:pt>
              </c:numCache>
            </c:numRef>
          </c:val>
          <c:extLst>
            <c:ext xmlns:c16="http://schemas.microsoft.com/office/drawing/2014/chart" uri="{C3380CC4-5D6E-409C-BE32-E72D297353CC}">
              <c16:uniqueId val="{00000009-1FBC-461A-85AF-62BF1688B45F}"/>
            </c:ext>
          </c:extLst>
        </c:ser>
        <c:dLbls>
          <c:showLegendKey val="0"/>
          <c:showVal val="0"/>
          <c:showCatName val="0"/>
          <c:showSerName val="0"/>
          <c:showPercent val="0"/>
          <c:showBubbleSize val="0"/>
        </c:dLbls>
        <c:gapWidth val="0"/>
        <c:overlap val="100"/>
        <c:axId val="2127359519"/>
        <c:axId val="938944847"/>
      </c:barChart>
      <c:catAx>
        <c:axId val="2127359519"/>
        <c:scaling>
          <c:orientation val="minMax"/>
        </c:scaling>
        <c:delete val="1"/>
        <c:axPos val="b"/>
        <c:majorGridlines>
          <c:spPr>
            <a:ln w="9525" cap="flat" cmpd="sng" algn="ctr">
              <a:solidFill>
                <a:schemeClr val="dk1">
                  <a:lumMod val="15000"/>
                  <a:lumOff val="85000"/>
                </a:schemeClr>
              </a:solidFill>
              <a:round/>
            </a:ln>
            <a:effectLst/>
          </c:spPr>
        </c:majorGridlines>
        <c:numFmt formatCode="0.00" sourceLinked="1"/>
        <c:majorTickMark val="none"/>
        <c:minorTickMark val="none"/>
        <c:tickLblPos val="nextTo"/>
        <c:crossAx val="938944847"/>
        <c:crosses val="autoZero"/>
        <c:auto val="1"/>
        <c:lblAlgn val="ctr"/>
        <c:lblOffset val="100"/>
        <c:noMultiLvlLbl val="0"/>
      </c:catAx>
      <c:valAx>
        <c:axId val="938944847"/>
        <c:scaling>
          <c:orientation val="minMax"/>
        </c:scaling>
        <c:delete val="0"/>
        <c:axPos val="l"/>
        <c:majorGridlines>
          <c:spPr>
            <a:ln w="9525" cap="flat" cmpd="sng" algn="ctr">
              <a:solidFill>
                <a:schemeClr val="dk1">
                  <a:lumMod val="15000"/>
                  <a:lumOff val="85000"/>
                </a:schemeClr>
              </a:solidFill>
              <a:round/>
            </a:ln>
            <a:effectLst/>
          </c:spPr>
        </c:majorGridlines>
        <c:numFmt formatCode="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dk1">
                    <a:lumMod val="65000"/>
                    <a:lumOff val="35000"/>
                  </a:schemeClr>
                </a:solidFill>
                <a:latin typeface="+mn-lt"/>
                <a:ea typeface="+mn-ea"/>
                <a:cs typeface="+mn-cs"/>
              </a:defRPr>
            </a:pPr>
            <a:endParaRPr lang="fr-FR"/>
          </a:p>
        </c:txPr>
        <c:crossAx val="2127359519"/>
        <c:crosses val="autoZero"/>
        <c:crossBetween val="between"/>
      </c:valAx>
      <c:spPr>
        <a:pattFill prst="ltDnDiag">
          <a:fgClr>
            <a:schemeClr val="dk1">
              <a:lumMod val="15000"/>
              <a:lumOff val="85000"/>
            </a:schemeClr>
          </a:fgClr>
          <a:bgClr>
            <a:schemeClr val="lt1"/>
          </a:bgClr>
        </a:pattFill>
        <a:ln>
          <a:noFill/>
        </a:ln>
        <a:effectLst/>
      </c:spPr>
    </c:plotArea>
    <c:plotVisOnly val="1"/>
    <c:dispBlanksAs val="gap"/>
    <c:showDLblsOverMax val="0"/>
    <c:extLst/>
  </c:chart>
  <c:spPr>
    <a:noFill/>
    <a:ln w="9525" cap="flat" cmpd="sng" algn="ctr">
      <a:noFill/>
      <a:round/>
    </a:ln>
    <a:effectLst/>
  </c:spPr>
  <c:txPr>
    <a:bodyPr/>
    <a:lstStyle/>
    <a:p>
      <a:pPr>
        <a:defRPr/>
      </a:pPr>
      <a:endParaRPr lang="fr-FR"/>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7.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8.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9.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0.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52">
  <cs:axisTitle>
    <cs:lnRef idx="0"/>
    <cs:fillRef idx="0"/>
    <cs:effectRef idx="0"/>
    <cs:fontRef idx="minor">
      <a:schemeClr val="tx1">
        <a:lumMod val="65000"/>
        <a:lumOff val="35000"/>
      </a:schemeClr>
    </cs:fontRef>
    <cs:defRPr sz="900" b="1" kern="1200"/>
  </cs:axisTitle>
  <cs:categoryAxis>
    <cs:lnRef idx="0"/>
    <cs:fillRef idx="0"/>
    <cs:effectRef idx="0"/>
    <cs:fontRef idx="minor">
      <a:schemeClr val="tx1">
        <a:lumMod val="65000"/>
        <a:lumOff val="35000"/>
      </a:schemeClr>
    </cs:fontRef>
    <cs:spPr>
      <a:ln w="19050"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dk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0">
      <cs:styleClr val="auto"/>
    </cs:fillRef>
    <cs:effectRef idx="0">
      <cs:styleClr val="auto"/>
    </cs:effectRef>
    <cs:fontRef idx="minor">
      <a:schemeClr val="dk1"/>
    </cs:fontRef>
    <cs:spPr>
      <a:pattFill prst="ltUpDiag">
        <a:fgClr>
          <a:schemeClr val="phClr"/>
        </a:fgClr>
        <a:bgClr>
          <a:schemeClr val="phClr">
            <a:lumMod val="20000"/>
            <a:lumOff val="80000"/>
          </a:schemeClr>
        </a:bgClr>
      </a:pattFill>
      <a:ln w="19050">
        <a:solidFill>
          <a:schemeClr val="lt1"/>
        </a:solidFill>
      </a:ln>
      <a:effectLst>
        <a:innerShdw blurRad="114300">
          <a:schemeClr val="phClr"/>
        </a:innerShdw>
      </a:effectLst>
    </cs:spPr>
  </cs:dataPoint>
  <cs:dataPoint3D>
    <cs:lnRef idx="0"/>
    <cs:fillRef idx="0">
      <cs:styleClr val="auto"/>
    </cs:fillRef>
    <cs:effectRef idx="0"/>
    <cs:fontRef idx="minor">
      <a:schemeClr val="dk1"/>
    </cs:fontRef>
    <cs:spPr>
      <a:pattFill prst="ltUpDiag">
        <a:fgClr>
          <a:schemeClr val="phClr"/>
        </a:fgClr>
        <a:bgClr>
          <a:schemeClr val="phClr">
            <a:lumMod val="20000"/>
            <a:lumOff val="80000"/>
          </a:schemeClr>
        </a:bgClr>
      </a:pattFill>
      <a:ln w="19050">
        <a:solidFill>
          <a:schemeClr val="lt1"/>
        </a:solidFill>
      </a:ln>
      <a:effectLst>
        <a:innerShdw blurRad="114300">
          <a:schemeClr val="phClr"/>
        </a:innerShdw>
      </a:effectLst>
    </cs:spPr>
  </cs:dataPoint3D>
  <cs:dataPointLine>
    <cs:lnRef idx="0">
      <cs:styleClr val="auto"/>
    </cs:lnRef>
    <cs:fillRef idx="0"/>
    <cs:effectRef idx="0"/>
    <cs:fontRef idx="minor">
      <a:schemeClr val="dk1"/>
    </cs:fontRef>
    <cs:spPr>
      <a:ln w="28575" cap="rnd">
        <a:solidFill>
          <a:schemeClr val="phClr"/>
        </a:solidFill>
        <a:round/>
      </a:ln>
    </cs:spPr>
  </cs:dataPointLine>
  <cs:dataPointMarker>
    <cs:lnRef idx="0"/>
    <cs:fillRef idx="0">
      <cs:styleClr val="auto"/>
    </cs:fillRef>
    <cs:effectRef idx="0"/>
    <cs:fontRef idx="minor">
      <a:schemeClr val="dk1"/>
    </cs:fontRef>
    <cs:spPr>
      <a:solidFill>
        <a:schemeClr val="phClr"/>
      </a:solidFill>
      <a:ln w="9525">
        <a:solidFill>
          <a:schemeClr val="lt1"/>
        </a:solidFill>
      </a:ln>
    </cs:spPr>
  </cs:dataPointMarker>
  <cs:dataPointMarkerLayout symbol="circle" size="6"/>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ln w="9525">
        <a:solidFill>
          <a:schemeClr val="tx1">
            <a:lumMod val="15000"/>
            <a:lumOff val="85000"/>
          </a:schemeClr>
        </a:solidFill>
      </a:ln>
    </cs:spPr>
    <cs:defRPr sz="900" kern="1200"/>
  </cs:dataTable>
  <cs:downBar>
    <cs:lnRef idx="0"/>
    <cs:fillRef idx="0"/>
    <cs:effectRef idx="0"/>
    <cs:fontRef idx="minor">
      <a:schemeClr val="dk1"/>
    </cs:fontRef>
    <cs:spPr>
      <a:solidFill>
        <a:schemeClr val="dk1">
          <a:lumMod val="75000"/>
          <a:lumOff val="25000"/>
        </a:schemeClr>
      </a:solidFill>
      <a:ln w="9525">
        <a:solidFill>
          <a:schemeClr val="tx1">
            <a:lumMod val="50000"/>
            <a:lumOff val="50000"/>
          </a:schemeClr>
        </a:solidFill>
      </a:ln>
    </cs:spPr>
  </cs:downBar>
  <cs:dropLine>
    <cs:lnRef idx="0"/>
    <cs:fillRef idx="0"/>
    <cs:effectRef idx="0"/>
    <cs:fontRef idx="minor">
      <a:schemeClr val="dk1"/>
    </cs:fontRef>
    <cs:spPr>
      <a:ln w="9525">
        <a:solidFill>
          <a:schemeClr val="tx1">
            <a:lumMod val="35000"/>
            <a:lumOff val="65000"/>
          </a:schemeClr>
        </a:solidFill>
        <a:round/>
      </a:ln>
    </cs:spPr>
  </cs:dropLine>
  <cs:errorBar>
    <cs:lnRef idx="0"/>
    <cs:fillRef idx="0"/>
    <cs:effectRef idx="0"/>
    <cs:fontRef idx="minor">
      <a:schemeClr val="dk1"/>
    </cs:fontRef>
    <cs:spPr>
      <a:ln w="9525">
        <a:solidFill>
          <a:schemeClr val="tx1">
            <a:lumMod val="50000"/>
            <a:lumOff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a:solidFill>
          <a:schemeClr val="tx1">
            <a:lumMod val="15000"/>
            <a:lumOff val="85000"/>
          </a:schemeClr>
        </a:solidFill>
      </a:ln>
    </cs:spPr>
  </cs:gridlineMajor>
  <cs:gridlineMinor>
    <cs:lnRef idx="0"/>
    <cs:fillRef idx="0"/>
    <cs:effectRef idx="0"/>
    <cs:fontRef idx="minor">
      <a:schemeClr val="dk1"/>
    </cs:fontRef>
    <cs:spPr>
      <a:ln>
        <a:solidFill>
          <a:schemeClr val="tx1">
            <a:lumMod val="5000"/>
            <a:lumOff val="95000"/>
          </a:schemeClr>
        </a:solidFill>
      </a:ln>
    </cs:spPr>
  </cs:gridlineMinor>
  <cs:hiLoLine>
    <cs:lnRef idx="0"/>
    <cs:fillRef idx="0"/>
    <cs:effectRef idx="0"/>
    <cs:fontRef idx="minor">
      <a:schemeClr val="dk1"/>
    </cs:fontRef>
    <cs:spPr>
      <a:ln w="9525">
        <a:solidFill>
          <a:schemeClr val="tx1">
            <a:lumMod val="35000"/>
            <a:lumOff val="65000"/>
          </a:schemeClr>
        </a:solidFill>
        <a:round/>
      </a:ln>
    </cs:spPr>
  </cs:hiLoLine>
  <cs:leaderLine>
    <cs:lnRef idx="0"/>
    <cs:fillRef idx="0"/>
    <cs:effectRef idx="0"/>
    <cs:fontRef idx="minor">
      <a:schemeClr val="dk1"/>
    </cs:fontRef>
    <cs:spPr>
      <a:ln w="9525">
        <a:solidFill>
          <a:schemeClr val="tx1">
            <a:lumMod val="35000"/>
            <a:lumOff val="65000"/>
          </a:schemeClr>
        </a:solidFill>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dk1"/>
    </cs:fontRef>
  </cs:plotArea>
  <cs:plotArea3D mods="allowNoFillOverride allowNoLineOverride">
    <cs:lnRef idx="0"/>
    <cs:fillRef idx="0"/>
    <cs:effectRef idx="0"/>
    <cs:fontRef idx="minor">
      <a:schemeClr val="dk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dk1"/>
    </cs:fontRef>
    <cs:spPr>
      <a:ln w="9525">
        <a:solidFill>
          <a:schemeClr val="tx1">
            <a:lumMod val="35000"/>
            <a:lumOff val="65000"/>
          </a:schemeClr>
        </a:solidFill>
        <a:round/>
      </a:ln>
    </cs:spPr>
  </cs:seriesLine>
  <cs:title>
    <cs:lnRef idx="0"/>
    <cs:fillRef idx="0"/>
    <cs:effectRef idx="0"/>
    <cs:fontRef idx="minor">
      <a:schemeClr val="tx1">
        <a:lumMod val="50000"/>
        <a:lumOff val="50000"/>
      </a:schemeClr>
    </cs:fontRef>
    <cs:defRPr sz="1800" b="1" kern="1200" cap="all" spc="150" baseline="0"/>
  </cs:title>
  <cs:trendline>
    <cs:lnRef idx="0">
      <cs:styleClr val="auto"/>
    </cs:lnRef>
    <cs:fillRef idx="0"/>
    <cs:effectRef idx="0"/>
    <cs:fontRef idx="minor">
      <a:schemeClr val="dk1"/>
    </cs:fontRef>
    <cs:spPr>
      <a:ln w="19050" cap="rnd">
        <a:solidFill>
          <a:schemeClr val="phClr"/>
        </a:solidFill>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50000"/>
            <a:lumOff val="50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dk1"/>
    </cs:fontRef>
  </cs:wall>
</cs:chartStyle>
</file>

<file path=xl/charts/style3.xml><?xml version="1.0" encoding="utf-8"?>
<cs:chartStyle xmlns:cs="http://schemas.microsoft.com/office/drawing/2012/chartStyle" xmlns:a="http://schemas.openxmlformats.org/drawingml/2006/main" id="208">
  <cs:axisTitle>
    <cs:lnRef idx="0"/>
    <cs:fillRef idx="0"/>
    <cs:effectRef idx="0"/>
    <cs:fontRef idx="minor">
      <a:schemeClr val="dk1">
        <a:lumMod val="65000"/>
        <a:lumOff val="35000"/>
      </a:schemeClr>
    </cs:fontRef>
    <cs:defRPr sz="900" b="1" kern="1200"/>
  </cs:axisTitle>
  <cs:categoryAxis>
    <cs:lnRef idx="0"/>
    <cs:fillRef idx="0"/>
    <cs:effectRef idx="0"/>
    <cs:fontRef idx="minor">
      <a:schemeClr val="dk1">
        <a:lumMod val="65000"/>
        <a:lumOff val="35000"/>
      </a:schemeClr>
    </cs:fontRef>
    <cs:spPr>
      <a:ln w="9525" cap="flat" cmpd="sng" algn="ctr">
        <a:solidFill>
          <a:schemeClr val="dk1">
            <a:lumMod val="15000"/>
            <a:lumOff val="85000"/>
          </a:schemeClr>
        </a:solidFill>
        <a:round/>
      </a:ln>
    </cs:spPr>
    <cs:defRPr sz="900" kern="1200" cap="none" spc="0" normalizeH="0" baseline="0"/>
  </cs:categoryAxis>
  <cs:chartArea>
    <cs:lnRef idx="0"/>
    <cs:fillRef idx="0"/>
    <cs:effectRef idx="0"/>
    <cs:fontRef idx="minor">
      <a:schemeClr val="dk1"/>
    </cs:fontRef>
    <cs:spPr>
      <a:solidFill>
        <a:schemeClr val="lt1"/>
      </a:solidFill>
      <a:ln w="9525" cap="flat" cmpd="sng" algn="ctr">
        <a:solidFill>
          <a:schemeClr val="dk1">
            <a:lumMod val="15000"/>
            <a:lumOff val="85000"/>
          </a:schemeClr>
        </a:solidFill>
        <a:round/>
      </a:ln>
    </cs:spPr>
    <cs:defRPr sz="900" kern="1200"/>
  </cs:chartArea>
  <cs:dataLabel>
    <cs:lnRef idx="0"/>
    <cs:fillRef idx="0"/>
    <cs:effectRef idx="0"/>
    <cs:fontRef idx="minor">
      <a:schemeClr val="dk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0">
      <cs:styleClr val="auto"/>
    </cs:fillRef>
    <cs:effectRef idx="0"/>
    <cs:fontRef idx="minor">
      <a:schemeClr val="dk1"/>
    </cs:fontRef>
    <cs:spPr>
      <a:solidFill>
        <a:schemeClr val="phClr"/>
      </a:solidFill>
    </cs:spPr>
  </cs:dataPoint>
  <cs:dataPoint3D>
    <cs:lnRef idx="0"/>
    <cs:fillRef idx="0">
      <cs:styleClr val="auto"/>
    </cs:fillRef>
    <cs:effectRef idx="0"/>
    <cs:fontRef idx="minor">
      <a:schemeClr val="dk1"/>
    </cs:fontRef>
    <cs:spPr>
      <a:solidFill>
        <a:schemeClr val="phClr"/>
      </a:solidFill>
    </cs:spPr>
  </cs:dataPoint3D>
  <cs:dataPointLine>
    <cs:lnRef idx="0">
      <cs:styleClr val="auto"/>
    </cs:lnRef>
    <cs:fillRef idx="0"/>
    <cs:effectRef idx="0"/>
    <cs:fontRef idx="minor">
      <a:schemeClr val="dk1"/>
    </cs:fontRef>
    <cs:spPr>
      <a:ln w="22225" cap="rnd">
        <a:solidFill>
          <a:schemeClr val="phClr"/>
        </a:solidFill>
        <a:round/>
      </a:ln>
    </cs:spPr>
  </cs:dataPointLine>
  <cs:dataPointMarker>
    <cs:lnRef idx="0">
      <cs:styleClr val="auto"/>
    </cs:lnRef>
    <cs:fillRef idx="0">
      <cs:styleClr val="auto"/>
    </cs:fillRef>
    <cs:effectRef idx="0"/>
    <cs:fontRef idx="minor">
      <a:schemeClr val="dk1"/>
    </cs:fontRef>
    <cs:spPr>
      <a:solidFill>
        <a:schemeClr val="lt1"/>
      </a:solidFill>
      <a:ln w="15875">
        <a:solidFill>
          <a:schemeClr val="phClr"/>
        </a:solidFill>
        <a:round/>
      </a:ln>
    </cs:spPr>
  </cs:dataPointMarker>
  <cs:dataPointMarkerLayout symbol="circle" size="6"/>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dk1">
        <a:lumMod val="65000"/>
        <a:lumOff val="35000"/>
      </a:schemeClr>
    </cs:fontRef>
    <cs:spPr>
      <a:ln w="9525" cap="flat" cmpd="sng" algn="ctr">
        <a:solidFill>
          <a:schemeClr val="dk1">
            <a:lumMod val="15000"/>
            <a:lumOff val="85000"/>
          </a:schemeClr>
        </a:solidFill>
        <a:round/>
      </a:ln>
    </cs:spPr>
    <cs:defRPr sz="800" kern="1200"/>
  </cs:dataTable>
  <cs:downBar>
    <cs:lnRef idx="0"/>
    <cs:fillRef idx="0"/>
    <cs:effectRef idx="0"/>
    <cs:fontRef idx="minor">
      <a:schemeClr val="dk1"/>
    </cs:fontRef>
    <cs:spPr>
      <a:solidFill>
        <a:schemeClr val="dk1">
          <a:lumMod val="75000"/>
          <a:lumOff val="25000"/>
        </a:schemeClr>
      </a:solidFill>
      <a:ln w="9525" cap="flat" cmpd="sng" algn="ctr">
        <a:solidFill>
          <a:schemeClr val="dk1">
            <a:lumMod val="50000"/>
            <a:lumOff val="50000"/>
          </a:schemeClr>
        </a:solidFill>
        <a:round/>
      </a:ln>
    </cs:spPr>
  </cs:downBar>
  <cs:dropLine>
    <cs:lnRef idx="0"/>
    <cs:fillRef idx="0"/>
    <cs:effectRef idx="0"/>
    <cs:fontRef idx="minor">
      <a:schemeClr val="dk1"/>
    </cs:fontRef>
    <cs:spPr>
      <a:ln w="9525" cap="flat" cmpd="sng" algn="ctr">
        <a:solidFill>
          <a:schemeClr val="dk1">
            <a:lumMod val="35000"/>
            <a:lumOff val="65000"/>
          </a:schemeClr>
        </a:solidFill>
        <a:round/>
      </a:ln>
    </cs:spPr>
  </cs:dropLine>
  <cs:errorBar>
    <cs:lnRef idx="0"/>
    <cs:fillRef idx="0"/>
    <cs:effectRef idx="0"/>
    <cs:fontRef idx="minor">
      <a:schemeClr val="dk1"/>
    </cs:fontRef>
    <cs:spPr>
      <a:ln w="9525" cap="flat" cmpd="sng" algn="ctr">
        <a:solidFill>
          <a:schemeClr val="dk1">
            <a:lumMod val="50000"/>
            <a:lumOff val="50000"/>
          </a:schemeClr>
        </a:solidFill>
        <a:round/>
      </a:ln>
    </cs:spPr>
  </cs:errorBar>
  <cs:floor>
    <cs:lnRef idx="0"/>
    <cs:fillRef idx="0"/>
    <cs:effectRef idx="0"/>
    <cs:fontRef idx="minor">
      <a:schemeClr val="dk1"/>
    </cs:fontRef>
    <cs:spPr>
      <a:pattFill prst="ltDnDiag">
        <a:fgClr>
          <a:schemeClr val="dk1">
            <a:lumMod val="15000"/>
            <a:lumOff val="85000"/>
          </a:schemeClr>
        </a:fgClr>
        <a:bgClr>
          <a:schemeClr val="lt1"/>
        </a:bgClr>
      </a:pattFill>
    </cs:spPr>
  </cs:floor>
  <cs:gridlineMajor>
    <cs:lnRef idx="0"/>
    <cs:fillRef idx="0"/>
    <cs:effectRef idx="0"/>
    <cs:fontRef idx="minor">
      <a:schemeClr val="dk1"/>
    </cs:fontRef>
    <cs:spPr>
      <a:ln w="9525" cap="flat" cmpd="sng" algn="ctr">
        <a:solidFill>
          <a:schemeClr val="dk1">
            <a:lumMod val="15000"/>
            <a:lumOff val="85000"/>
          </a:schemeClr>
        </a:solidFill>
        <a:round/>
      </a:ln>
    </cs:spPr>
  </cs:gridlineMajor>
  <cs:gridlineMinor>
    <cs:lnRef idx="0"/>
    <cs:fillRef idx="0"/>
    <cs:effectRef idx="0"/>
    <cs:fontRef idx="minor">
      <a:schemeClr val="dk1"/>
    </cs:fontRef>
    <cs:spPr>
      <a:ln w="9525" cap="flat" cmpd="sng" algn="ctr">
        <a:solidFill>
          <a:schemeClr val="dk1">
            <a:lumMod val="5000"/>
            <a:lumOff val="95000"/>
          </a:schemeClr>
        </a:solidFill>
        <a:round/>
      </a:ln>
    </cs:spPr>
  </cs:gridlineMinor>
  <cs:hiLoLine>
    <cs:lnRef idx="0"/>
    <cs:fillRef idx="0"/>
    <cs:effectRef idx="0"/>
    <cs:fontRef idx="minor">
      <a:schemeClr val="dk1"/>
    </cs:fontRef>
    <cs:spPr>
      <a:ln w="9525" cap="flat" cmpd="sng" algn="ctr">
        <a:solidFill>
          <a:schemeClr val="dk1">
            <a:lumMod val="35000"/>
            <a:lumOff val="65000"/>
          </a:schemeClr>
        </a:solidFill>
        <a:round/>
      </a:ln>
    </cs:spPr>
  </cs:hiLoLine>
  <cs:leaderLine>
    <cs:lnRef idx="0"/>
    <cs:fillRef idx="0"/>
    <cs:effectRef idx="0"/>
    <cs:fontRef idx="minor">
      <a:schemeClr val="dk1"/>
    </cs:fontRef>
    <cs:spPr>
      <a:ln w="9525" cap="flat" cmpd="sng" algn="ctr">
        <a:solidFill>
          <a:schemeClr val="dk1">
            <a:lumMod val="35000"/>
            <a:lumOff val="65000"/>
          </a:schemeClr>
        </a:solidFill>
        <a:round/>
      </a:ln>
    </cs:spPr>
  </cs:leaderLine>
  <cs:legend>
    <cs:lnRef idx="0"/>
    <cs:fillRef idx="0"/>
    <cs:effectRef idx="0"/>
    <cs:fontRef idx="minor">
      <a:schemeClr val="dk1">
        <a:lumMod val="65000"/>
        <a:lumOff val="35000"/>
      </a:schemeClr>
    </cs:fontRef>
    <cs:defRPr sz="900" kern="1200"/>
  </cs:legend>
  <cs:plotArea>
    <cs:lnRef idx="0"/>
    <cs:fillRef idx="0"/>
    <cs:effectRef idx="0"/>
    <cs:fontRef idx="minor">
      <a:schemeClr val="dk1"/>
    </cs:fontRef>
    <cs:spPr>
      <a:pattFill prst="ltDnDiag">
        <a:fgClr>
          <a:schemeClr val="dk1">
            <a:lumMod val="15000"/>
            <a:lumOff val="85000"/>
          </a:schemeClr>
        </a:fgClr>
        <a:bgClr>
          <a:schemeClr val="lt1"/>
        </a:bgClr>
      </a:pattFill>
    </cs:spPr>
  </cs:plotArea>
  <cs:plotArea3D>
    <cs:lnRef idx="0"/>
    <cs:fillRef idx="0"/>
    <cs:effectRef idx="0"/>
    <cs:fontRef idx="minor">
      <a:schemeClr val="dk1"/>
    </cs:fontRef>
    <cs:spPr>
      <a:solidFill>
        <a:schemeClr val="lt1"/>
      </a:solidFill>
    </cs:spPr>
  </cs:plotArea3D>
  <cs:seriesAxis>
    <cs:lnRef idx="0"/>
    <cs:fillRef idx="0"/>
    <cs:effectRef idx="0"/>
    <cs:fontRef idx="minor">
      <a:schemeClr val="dk1">
        <a:lumMod val="65000"/>
        <a:lumOff val="35000"/>
      </a:schemeClr>
    </cs:fontRef>
    <cs:defRPr sz="900" kern="1200"/>
  </cs:seriesAxis>
  <cs:seriesLine>
    <cs:lnRef idx="0"/>
    <cs:fillRef idx="0"/>
    <cs:effectRef idx="0"/>
    <cs:fontRef idx="minor">
      <a:schemeClr val="dk1"/>
    </cs:fontRef>
    <cs:spPr>
      <a:ln w="9525" cap="flat" cmpd="sng" algn="ctr">
        <a:solidFill>
          <a:schemeClr val="dk1">
            <a:lumMod val="35000"/>
            <a:lumOff val="65000"/>
          </a:schemeClr>
        </a:solidFill>
        <a:round/>
      </a:ln>
    </cs:spPr>
  </cs:seriesLine>
  <cs:title>
    <cs:lnRef idx="0"/>
    <cs:fillRef idx="0"/>
    <cs:effectRef idx="0"/>
    <cs:fontRef idx="major">
      <a:schemeClr val="dk1">
        <a:lumMod val="50000"/>
        <a:lumOff val="50000"/>
      </a:schemeClr>
    </cs:fontRef>
    <cs:defRPr sz="1600" b="1" kern="1200" cap="none" spc="0" normalizeH="0" baseline="0"/>
  </cs:title>
  <cs:trendline>
    <cs:lnRef idx="0">
      <cs:styleClr val="auto"/>
    </cs:lnRef>
    <cs:fillRef idx="0"/>
    <cs:effectRef idx="0"/>
    <cs:fontRef idx="minor">
      <a:schemeClr val="dk1"/>
    </cs:fontRef>
    <cs:spPr>
      <a:ln w="19050" cap="rnd">
        <a:solidFill>
          <a:schemeClr val="phClr"/>
        </a:solidFill>
      </a:ln>
    </cs:spPr>
  </cs:trendline>
  <cs:trendlineLabel>
    <cs:lnRef idx="0"/>
    <cs:fillRef idx="0"/>
    <cs:effectRef idx="0"/>
    <cs:fontRef idx="minor">
      <a:schemeClr val="dk1">
        <a:lumMod val="65000"/>
        <a:lumOff val="35000"/>
      </a:schemeClr>
    </cs:fontRef>
    <cs:defRPr sz="900" kern="1200"/>
  </cs:trendlineLabel>
  <cs:upBar>
    <cs:lnRef idx="0"/>
    <cs:fillRef idx="0"/>
    <cs:effectRef idx="0"/>
    <cs:fontRef idx="minor">
      <a:schemeClr val="dk1"/>
    </cs:fontRef>
    <cs:spPr>
      <a:solidFill>
        <a:schemeClr val="lt1"/>
      </a:solidFill>
      <a:ln w="9525" cap="flat" cmpd="sng" algn="ctr">
        <a:solidFill>
          <a:schemeClr val="dk1">
            <a:lumMod val="50000"/>
            <a:lumOff val="50000"/>
          </a:schemeClr>
        </a:solidFill>
        <a:round/>
      </a:ln>
    </cs:spPr>
  </cs:upBar>
  <cs:valueAxis>
    <cs:lnRef idx="0"/>
    <cs:fillRef idx="0"/>
    <cs:effectRef idx="0"/>
    <cs:fontRef idx="minor">
      <a:schemeClr val="dk1">
        <a:lumMod val="65000"/>
        <a:lumOff val="35000"/>
      </a:schemeClr>
    </cs:fontRef>
    <cs:defRPr sz="900" kern="1200"/>
  </cs:valueAxis>
  <cs:wall>
    <cs:lnRef idx="0"/>
    <cs:fillRef idx="0"/>
    <cs:effectRef idx="0"/>
    <cs:fontRef idx="minor">
      <a:schemeClr val="dk1"/>
    </cs:fontRef>
    <cs:spPr>
      <a:pattFill prst="ltDnDiag">
        <a:fgClr>
          <a:schemeClr val="dk1">
            <a:lumMod val="15000"/>
            <a:lumOff val="85000"/>
          </a:schemeClr>
        </a:fgClr>
        <a:bgClr>
          <a:schemeClr val="lt1"/>
        </a:bgClr>
      </a:pattFill>
    </cs:spPr>
  </cs:wall>
</cs:chartStyle>
</file>

<file path=xl/charts/style4.xml><?xml version="1.0" encoding="utf-8"?>
<cs:chartStyle xmlns:cs="http://schemas.microsoft.com/office/drawing/2012/chartStyle" xmlns:a="http://schemas.openxmlformats.org/drawingml/2006/main" id="208">
  <cs:axisTitle>
    <cs:lnRef idx="0"/>
    <cs:fillRef idx="0"/>
    <cs:effectRef idx="0"/>
    <cs:fontRef idx="minor">
      <a:schemeClr val="dk1">
        <a:lumMod val="65000"/>
        <a:lumOff val="35000"/>
      </a:schemeClr>
    </cs:fontRef>
    <cs:defRPr sz="900" b="1" kern="1200"/>
  </cs:axisTitle>
  <cs:categoryAxis>
    <cs:lnRef idx="0"/>
    <cs:fillRef idx="0"/>
    <cs:effectRef idx="0"/>
    <cs:fontRef idx="minor">
      <a:schemeClr val="dk1">
        <a:lumMod val="65000"/>
        <a:lumOff val="35000"/>
      </a:schemeClr>
    </cs:fontRef>
    <cs:spPr>
      <a:ln w="9525" cap="flat" cmpd="sng" algn="ctr">
        <a:solidFill>
          <a:schemeClr val="dk1">
            <a:lumMod val="15000"/>
            <a:lumOff val="85000"/>
          </a:schemeClr>
        </a:solidFill>
        <a:round/>
      </a:ln>
    </cs:spPr>
    <cs:defRPr sz="900" kern="1200" cap="none" spc="0" normalizeH="0" baseline="0"/>
  </cs:categoryAxis>
  <cs:chartArea>
    <cs:lnRef idx="0"/>
    <cs:fillRef idx="0"/>
    <cs:effectRef idx="0"/>
    <cs:fontRef idx="minor">
      <a:schemeClr val="dk1"/>
    </cs:fontRef>
    <cs:spPr>
      <a:solidFill>
        <a:schemeClr val="lt1"/>
      </a:solidFill>
      <a:ln w="9525" cap="flat" cmpd="sng" algn="ctr">
        <a:solidFill>
          <a:schemeClr val="dk1">
            <a:lumMod val="15000"/>
            <a:lumOff val="85000"/>
          </a:schemeClr>
        </a:solidFill>
        <a:round/>
      </a:ln>
    </cs:spPr>
    <cs:defRPr sz="900" kern="1200"/>
  </cs:chartArea>
  <cs:dataLabel>
    <cs:lnRef idx="0"/>
    <cs:fillRef idx="0"/>
    <cs:effectRef idx="0"/>
    <cs:fontRef idx="minor">
      <a:schemeClr val="dk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0">
      <cs:styleClr val="auto"/>
    </cs:fillRef>
    <cs:effectRef idx="0"/>
    <cs:fontRef idx="minor">
      <a:schemeClr val="dk1"/>
    </cs:fontRef>
    <cs:spPr>
      <a:solidFill>
        <a:schemeClr val="phClr"/>
      </a:solidFill>
    </cs:spPr>
  </cs:dataPoint>
  <cs:dataPoint3D>
    <cs:lnRef idx="0"/>
    <cs:fillRef idx="0">
      <cs:styleClr val="auto"/>
    </cs:fillRef>
    <cs:effectRef idx="0"/>
    <cs:fontRef idx="minor">
      <a:schemeClr val="dk1"/>
    </cs:fontRef>
    <cs:spPr>
      <a:solidFill>
        <a:schemeClr val="phClr"/>
      </a:solidFill>
    </cs:spPr>
  </cs:dataPoint3D>
  <cs:dataPointLine>
    <cs:lnRef idx="0">
      <cs:styleClr val="auto"/>
    </cs:lnRef>
    <cs:fillRef idx="0"/>
    <cs:effectRef idx="0"/>
    <cs:fontRef idx="minor">
      <a:schemeClr val="dk1"/>
    </cs:fontRef>
    <cs:spPr>
      <a:ln w="22225" cap="rnd">
        <a:solidFill>
          <a:schemeClr val="phClr"/>
        </a:solidFill>
        <a:round/>
      </a:ln>
    </cs:spPr>
  </cs:dataPointLine>
  <cs:dataPointMarker>
    <cs:lnRef idx="0">
      <cs:styleClr val="auto"/>
    </cs:lnRef>
    <cs:fillRef idx="0">
      <cs:styleClr val="auto"/>
    </cs:fillRef>
    <cs:effectRef idx="0"/>
    <cs:fontRef idx="minor">
      <a:schemeClr val="dk1"/>
    </cs:fontRef>
    <cs:spPr>
      <a:solidFill>
        <a:schemeClr val="lt1"/>
      </a:solidFill>
      <a:ln w="15875">
        <a:solidFill>
          <a:schemeClr val="phClr"/>
        </a:solidFill>
        <a:round/>
      </a:ln>
    </cs:spPr>
  </cs:dataPointMarker>
  <cs:dataPointMarkerLayout symbol="circle" size="6"/>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dk1">
        <a:lumMod val="65000"/>
        <a:lumOff val="35000"/>
      </a:schemeClr>
    </cs:fontRef>
    <cs:spPr>
      <a:ln w="9525" cap="flat" cmpd="sng" algn="ctr">
        <a:solidFill>
          <a:schemeClr val="dk1">
            <a:lumMod val="15000"/>
            <a:lumOff val="85000"/>
          </a:schemeClr>
        </a:solidFill>
        <a:round/>
      </a:ln>
    </cs:spPr>
    <cs:defRPr sz="800" kern="1200"/>
  </cs:dataTable>
  <cs:downBar>
    <cs:lnRef idx="0"/>
    <cs:fillRef idx="0"/>
    <cs:effectRef idx="0"/>
    <cs:fontRef idx="minor">
      <a:schemeClr val="dk1"/>
    </cs:fontRef>
    <cs:spPr>
      <a:solidFill>
        <a:schemeClr val="dk1">
          <a:lumMod val="75000"/>
          <a:lumOff val="25000"/>
        </a:schemeClr>
      </a:solidFill>
      <a:ln w="9525" cap="flat" cmpd="sng" algn="ctr">
        <a:solidFill>
          <a:schemeClr val="dk1">
            <a:lumMod val="50000"/>
            <a:lumOff val="50000"/>
          </a:schemeClr>
        </a:solidFill>
        <a:round/>
      </a:ln>
    </cs:spPr>
  </cs:downBar>
  <cs:dropLine>
    <cs:lnRef idx="0"/>
    <cs:fillRef idx="0"/>
    <cs:effectRef idx="0"/>
    <cs:fontRef idx="minor">
      <a:schemeClr val="dk1"/>
    </cs:fontRef>
    <cs:spPr>
      <a:ln w="9525" cap="flat" cmpd="sng" algn="ctr">
        <a:solidFill>
          <a:schemeClr val="dk1">
            <a:lumMod val="35000"/>
            <a:lumOff val="65000"/>
          </a:schemeClr>
        </a:solidFill>
        <a:round/>
      </a:ln>
    </cs:spPr>
  </cs:dropLine>
  <cs:errorBar>
    <cs:lnRef idx="0"/>
    <cs:fillRef idx="0"/>
    <cs:effectRef idx="0"/>
    <cs:fontRef idx="minor">
      <a:schemeClr val="dk1"/>
    </cs:fontRef>
    <cs:spPr>
      <a:ln w="9525" cap="flat" cmpd="sng" algn="ctr">
        <a:solidFill>
          <a:schemeClr val="dk1">
            <a:lumMod val="50000"/>
            <a:lumOff val="50000"/>
          </a:schemeClr>
        </a:solidFill>
        <a:round/>
      </a:ln>
    </cs:spPr>
  </cs:errorBar>
  <cs:floor>
    <cs:lnRef idx="0"/>
    <cs:fillRef idx="0"/>
    <cs:effectRef idx="0"/>
    <cs:fontRef idx="minor">
      <a:schemeClr val="dk1"/>
    </cs:fontRef>
    <cs:spPr>
      <a:pattFill prst="ltDnDiag">
        <a:fgClr>
          <a:schemeClr val="dk1">
            <a:lumMod val="15000"/>
            <a:lumOff val="85000"/>
          </a:schemeClr>
        </a:fgClr>
        <a:bgClr>
          <a:schemeClr val="lt1"/>
        </a:bgClr>
      </a:pattFill>
    </cs:spPr>
  </cs:floor>
  <cs:gridlineMajor>
    <cs:lnRef idx="0"/>
    <cs:fillRef idx="0"/>
    <cs:effectRef idx="0"/>
    <cs:fontRef idx="minor">
      <a:schemeClr val="dk1"/>
    </cs:fontRef>
    <cs:spPr>
      <a:ln w="9525" cap="flat" cmpd="sng" algn="ctr">
        <a:solidFill>
          <a:schemeClr val="dk1">
            <a:lumMod val="15000"/>
            <a:lumOff val="85000"/>
          </a:schemeClr>
        </a:solidFill>
        <a:round/>
      </a:ln>
    </cs:spPr>
  </cs:gridlineMajor>
  <cs:gridlineMinor>
    <cs:lnRef idx="0"/>
    <cs:fillRef idx="0"/>
    <cs:effectRef idx="0"/>
    <cs:fontRef idx="minor">
      <a:schemeClr val="dk1"/>
    </cs:fontRef>
    <cs:spPr>
      <a:ln w="9525" cap="flat" cmpd="sng" algn="ctr">
        <a:solidFill>
          <a:schemeClr val="dk1">
            <a:lumMod val="5000"/>
            <a:lumOff val="95000"/>
          </a:schemeClr>
        </a:solidFill>
        <a:round/>
      </a:ln>
    </cs:spPr>
  </cs:gridlineMinor>
  <cs:hiLoLine>
    <cs:lnRef idx="0"/>
    <cs:fillRef idx="0"/>
    <cs:effectRef idx="0"/>
    <cs:fontRef idx="minor">
      <a:schemeClr val="dk1"/>
    </cs:fontRef>
    <cs:spPr>
      <a:ln w="9525" cap="flat" cmpd="sng" algn="ctr">
        <a:solidFill>
          <a:schemeClr val="dk1">
            <a:lumMod val="35000"/>
            <a:lumOff val="65000"/>
          </a:schemeClr>
        </a:solidFill>
        <a:round/>
      </a:ln>
    </cs:spPr>
  </cs:hiLoLine>
  <cs:leaderLine>
    <cs:lnRef idx="0"/>
    <cs:fillRef idx="0"/>
    <cs:effectRef idx="0"/>
    <cs:fontRef idx="minor">
      <a:schemeClr val="dk1"/>
    </cs:fontRef>
    <cs:spPr>
      <a:ln w="9525" cap="flat" cmpd="sng" algn="ctr">
        <a:solidFill>
          <a:schemeClr val="dk1">
            <a:lumMod val="35000"/>
            <a:lumOff val="65000"/>
          </a:schemeClr>
        </a:solidFill>
        <a:round/>
      </a:ln>
    </cs:spPr>
  </cs:leaderLine>
  <cs:legend>
    <cs:lnRef idx="0"/>
    <cs:fillRef idx="0"/>
    <cs:effectRef idx="0"/>
    <cs:fontRef idx="minor">
      <a:schemeClr val="dk1">
        <a:lumMod val="65000"/>
        <a:lumOff val="35000"/>
      </a:schemeClr>
    </cs:fontRef>
    <cs:defRPr sz="900" kern="1200"/>
  </cs:legend>
  <cs:plotArea>
    <cs:lnRef idx="0"/>
    <cs:fillRef idx="0"/>
    <cs:effectRef idx="0"/>
    <cs:fontRef idx="minor">
      <a:schemeClr val="dk1"/>
    </cs:fontRef>
    <cs:spPr>
      <a:pattFill prst="ltDnDiag">
        <a:fgClr>
          <a:schemeClr val="dk1">
            <a:lumMod val="15000"/>
            <a:lumOff val="85000"/>
          </a:schemeClr>
        </a:fgClr>
        <a:bgClr>
          <a:schemeClr val="lt1"/>
        </a:bgClr>
      </a:pattFill>
    </cs:spPr>
  </cs:plotArea>
  <cs:plotArea3D>
    <cs:lnRef idx="0"/>
    <cs:fillRef idx="0"/>
    <cs:effectRef idx="0"/>
    <cs:fontRef idx="minor">
      <a:schemeClr val="dk1"/>
    </cs:fontRef>
    <cs:spPr>
      <a:solidFill>
        <a:schemeClr val="lt1"/>
      </a:solidFill>
    </cs:spPr>
  </cs:plotArea3D>
  <cs:seriesAxis>
    <cs:lnRef idx="0"/>
    <cs:fillRef idx="0"/>
    <cs:effectRef idx="0"/>
    <cs:fontRef idx="minor">
      <a:schemeClr val="dk1">
        <a:lumMod val="65000"/>
        <a:lumOff val="35000"/>
      </a:schemeClr>
    </cs:fontRef>
    <cs:defRPr sz="900" kern="1200"/>
  </cs:seriesAxis>
  <cs:seriesLine>
    <cs:lnRef idx="0"/>
    <cs:fillRef idx="0"/>
    <cs:effectRef idx="0"/>
    <cs:fontRef idx="minor">
      <a:schemeClr val="dk1"/>
    </cs:fontRef>
    <cs:spPr>
      <a:ln w="9525" cap="flat" cmpd="sng" algn="ctr">
        <a:solidFill>
          <a:schemeClr val="dk1">
            <a:lumMod val="35000"/>
            <a:lumOff val="65000"/>
          </a:schemeClr>
        </a:solidFill>
        <a:round/>
      </a:ln>
    </cs:spPr>
  </cs:seriesLine>
  <cs:title>
    <cs:lnRef idx="0"/>
    <cs:fillRef idx="0"/>
    <cs:effectRef idx="0"/>
    <cs:fontRef idx="major">
      <a:schemeClr val="dk1">
        <a:lumMod val="50000"/>
        <a:lumOff val="50000"/>
      </a:schemeClr>
    </cs:fontRef>
    <cs:defRPr sz="1600" b="1" kern="1200" cap="none" spc="0" normalizeH="0" baseline="0"/>
  </cs:title>
  <cs:trendline>
    <cs:lnRef idx="0">
      <cs:styleClr val="auto"/>
    </cs:lnRef>
    <cs:fillRef idx="0"/>
    <cs:effectRef idx="0"/>
    <cs:fontRef idx="minor">
      <a:schemeClr val="dk1"/>
    </cs:fontRef>
    <cs:spPr>
      <a:ln w="19050" cap="rnd">
        <a:solidFill>
          <a:schemeClr val="phClr"/>
        </a:solidFill>
      </a:ln>
    </cs:spPr>
  </cs:trendline>
  <cs:trendlineLabel>
    <cs:lnRef idx="0"/>
    <cs:fillRef idx="0"/>
    <cs:effectRef idx="0"/>
    <cs:fontRef idx="minor">
      <a:schemeClr val="dk1">
        <a:lumMod val="65000"/>
        <a:lumOff val="35000"/>
      </a:schemeClr>
    </cs:fontRef>
    <cs:defRPr sz="900" kern="1200"/>
  </cs:trendlineLabel>
  <cs:upBar>
    <cs:lnRef idx="0"/>
    <cs:fillRef idx="0"/>
    <cs:effectRef idx="0"/>
    <cs:fontRef idx="minor">
      <a:schemeClr val="dk1"/>
    </cs:fontRef>
    <cs:spPr>
      <a:solidFill>
        <a:schemeClr val="lt1"/>
      </a:solidFill>
      <a:ln w="9525" cap="flat" cmpd="sng" algn="ctr">
        <a:solidFill>
          <a:schemeClr val="dk1">
            <a:lumMod val="50000"/>
            <a:lumOff val="50000"/>
          </a:schemeClr>
        </a:solidFill>
        <a:round/>
      </a:ln>
    </cs:spPr>
  </cs:upBar>
  <cs:valueAxis>
    <cs:lnRef idx="0"/>
    <cs:fillRef idx="0"/>
    <cs:effectRef idx="0"/>
    <cs:fontRef idx="minor">
      <a:schemeClr val="dk1">
        <a:lumMod val="65000"/>
        <a:lumOff val="35000"/>
      </a:schemeClr>
    </cs:fontRef>
    <cs:defRPr sz="900" kern="1200"/>
  </cs:valueAxis>
  <cs:wall>
    <cs:lnRef idx="0"/>
    <cs:fillRef idx="0"/>
    <cs:effectRef idx="0"/>
    <cs:fontRef idx="minor">
      <a:schemeClr val="dk1"/>
    </cs:fontRef>
    <cs:spPr>
      <a:pattFill prst="ltDnDiag">
        <a:fgClr>
          <a:schemeClr val="dk1">
            <a:lumMod val="15000"/>
            <a:lumOff val="85000"/>
          </a:schemeClr>
        </a:fgClr>
        <a:bgClr>
          <a:schemeClr val="lt1"/>
        </a:bgClr>
      </a:pattFill>
    </cs:spPr>
  </cs:wall>
</cs:chartStyle>
</file>

<file path=xl/charts/style5.xml><?xml version="1.0" encoding="utf-8"?>
<cs:chartStyle xmlns:cs="http://schemas.microsoft.com/office/drawing/2012/chartStyle" xmlns:a="http://schemas.openxmlformats.org/drawingml/2006/main" id="208">
  <cs:axisTitle>
    <cs:lnRef idx="0"/>
    <cs:fillRef idx="0"/>
    <cs:effectRef idx="0"/>
    <cs:fontRef idx="minor">
      <a:schemeClr val="dk1">
        <a:lumMod val="65000"/>
        <a:lumOff val="35000"/>
      </a:schemeClr>
    </cs:fontRef>
    <cs:defRPr sz="900" b="1" kern="1200"/>
  </cs:axisTitle>
  <cs:categoryAxis>
    <cs:lnRef idx="0"/>
    <cs:fillRef idx="0"/>
    <cs:effectRef idx="0"/>
    <cs:fontRef idx="minor">
      <a:schemeClr val="dk1">
        <a:lumMod val="65000"/>
        <a:lumOff val="35000"/>
      </a:schemeClr>
    </cs:fontRef>
    <cs:spPr>
      <a:ln w="9525" cap="flat" cmpd="sng" algn="ctr">
        <a:solidFill>
          <a:schemeClr val="dk1">
            <a:lumMod val="15000"/>
            <a:lumOff val="85000"/>
          </a:schemeClr>
        </a:solidFill>
        <a:round/>
      </a:ln>
    </cs:spPr>
    <cs:defRPr sz="900" kern="1200" cap="none" spc="0" normalizeH="0" baseline="0"/>
  </cs:categoryAxis>
  <cs:chartArea>
    <cs:lnRef idx="0"/>
    <cs:fillRef idx="0"/>
    <cs:effectRef idx="0"/>
    <cs:fontRef idx="minor">
      <a:schemeClr val="dk1"/>
    </cs:fontRef>
    <cs:spPr>
      <a:solidFill>
        <a:schemeClr val="lt1"/>
      </a:solidFill>
      <a:ln w="9525" cap="flat" cmpd="sng" algn="ctr">
        <a:solidFill>
          <a:schemeClr val="dk1">
            <a:lumMod val="15000"/>
            <a:lumOff val="85000"/>
          </a:schemeClr>
        </a:solidFill>
        <a:round/>
      </a:ln>
    </cs:spPr>
    <cs:defRPr sz="900" kern="1200"/>
  </cs:chartArea>
  <cs:dataLabel>
    <cs:lnRef idx="0"/>
    <cs:fillRef idx="0"/>
    <cs:effectRef idx="0"/>
    <cs:fontRef idx="minor">
      <a:schemeClr val="dk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0">
      <cs:styleClr val="auto"/>
    </cs:fillRef>
    <cs:effectRef idx="0"/>
    <cs:fontRef idx="minor">
      <a:schemeClr val="dk1"/>
    </cs:fontRef>
    <cs:spPr>
      <a:solidFill>
        <a:schemeClr val="phClr"/>
      </a:solidFill>
    </cs:spPr>
  </cs:dataPoint>
  <cs:dataPoint3D>
    <cs:lnRef idx="0"/>
    <cs:fillRef idx="0">
      <cs:styleClr val="auto"/>
    </cs:fillRef>
    <cs:effectRef idx="0"/>
    <cs:fontRef idx="minor">
      <a:schemeClr val="dk1"/>
    </cs:fontRef>
    <cs:spPr>
      <a:solidFill>
        <a:schemeClr val="phClr"/>
      </a:solidFill>
    </cs:spPr>
  </cs:dataPoint3D>
  <cs:dataPointLine>
    <cs:lnRef idx="0">
      <cs:styleClr val="auto"/>
    </cs:lnRef>
    <cs:fillRef idx="0"/>
    <cs:effectRef idx="0"/>
    <cs:fontRef idx="minor">
      <a:schemeClr val="dk1"/>
    </cs:fontRef>
    <cs:spPr>
      <a:ln w="22225" cap="rnd">
        <a:solidFill>
          <a:schemeClr val="phClr"/>
        </a:solidFill>
        <a:round/>
      </a:ln>
    </cs:spPr>
  </cs:dataPointLine>
  <cs:dataPointMarker>
    <cs:lnRef idx="0">
      <cs:styleClr val="auto"/>
    </cs:lnRef>
    <cs:fillRef idx="0">
      <cs:styleClr val="auto"/>
    </cs:fillRef>
    <cs:effectRef idx="0"/>
    <cs:fontRef idx="minor">
      <a:schemeClr val="dk1"/>
    </cs:fontRef>
    <cs:spPr>
      <a:solidFill>
        <a:schemeClr val="lt1"/>
      </a:solidFill>
      <a:ln w="15875">
        <a:solidFill>
          <a:schemeClr val="phClr"/>
        </a:solidFill>
        <a:round/>
      </a:ln>
    </cs:spPr>
  </cs:dataPointMarker>
  <cs:dataPointMarkerLayout symbol="circle" size="6"/>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dk1">
        <a:lumMod val="65000"/>
        <a:lumOff val="35000"/>
      </a:schemeClr>
    </cs:fontRef>
    <cs:spPr>
      <a:ln w="9525" cap="flat" cmpd="sng" algn="ctr">
        <a:solidFill>
          <a:schemeClr val="dk1">
            <a:lumMod val="15000"/>
            <a:lumOff val="85000"/>
          </a:schemeClr>
        </a:solidFill>
        <a:round/>
      </a:ln>
    </cs:spPr>
    <cs:defRPr sz="800" kern="1200"/>
  </cs:dataTable>
  <cs:downBar>
    <cs:lnRef idx="0"/>
    <cs:fillRef idx="0"/>
    <cs:effectRef idx="0"/>
    <cs:fontRef idx="minor">
      <a:schemeClr val="dk1"/>
    </cs:fontRef>
    <cs:spPr>
      <a:solidFill>
        <a:schemeClr val="dk1">
          <a:lumMod val="75000"/>
          <a:lumOff val="25000"/>
        </a:schemeClr>
      </a:solidFill>
      <a:ln w="9525" cap="flat" cmpd="sng" algn="ctr">
        <a:solidFill>
          <a:schemeClr val="dk1">
            <a:lumMod val="50000"/>
            <a:lumOff val="50000"/>
          </a:schemeClr>
        </a:solidFill>
        <a:round/>
      </a:ln>
    </cs:spPr>
  </cs:downBar>
  <cs:dropLine>
    <cs:lnRef idx="0"/>
    <cs:fillRef idx="0"/>
    <cs:effectRef idx="0"/>
    <cs:fontRef idx="minor">
      <a:schemeClr val="dk1"/>
    </cs:fontRef>
    <cs:spPr>
      <a:ln w="9525" cap="flat" cmpd="sng" algn="ctr">
        <a:solidFill>
          <a:schemeClr val="dk1">
            <a:lumMod val="35000"/>
            <a:lumOff val="65000"/>
          </a:schemeClr>
        </a:solidFill>
        <a:round/>
      </a:ln>
    </cs:spPr>
  </cs:dropLine>
  <cs:errorBar>
    <cs:lnRef idx="0"/>
    <cs:fillRef idx="0"/>
    <cs:effectRef idx="0"/>
    <cs:fontRef idx="minor">
      <a:schemeClr val="dk1"/>
    </cs:fontRef>
    <cs:spPr>
      <a:ln w="9525" cap="flat" cmpd="sng" algn="ctr">
        <a:solidFill>
          <a:schemeClr val="dk1">
            <a:lumMod val="50000"/>
            <a:lumOff val="50000"/>
          </a:schemeClr>
        </a:solidFill>
        <a:round/>
      </a:ln>
    </cs:spPr>
  </cs:errorBar>
  <cs:floor>
    <cs:lnRef idx="0"/>
    <cs:fillRef idx="0"/>
    <cs:effectRef idx="0"/>
    <cs:fontRef idx="minor">
      <a:schemeClr val="dk1"/>
    </cs:fontRef>
    <cs:spPr>
      <a:pattFill prst="ltDnDiag">
        <a:fgClr>
          <a:schemeClr val="dk1">
            <a:lumMod val="15000"/>
            <a:lumOff val="85000"/>
          </a:schemeClr>
        </a:fgClr>
        <a:bgClr>
          <a:schemeClr val="lt1"/>
        </a:bgClr>
      </a:pattFill>
    </cs:spPr>
  </cs:floor>
  <cs:gridlineMajor>
    <cs:lnRef idx="0"/>
    <cs:fillRef idx="0"/>
    <cs:effectRef idx="0"/>
    <cs:fontRef idx="minor">
      <a:schemeClr val="dk1"/>
    </cs:fontRef>
    <cs:spPr>
      <a:ln w="9525" cap="flat" cmpd="sng" algn="ctr">
        <a:solidFill>
          <a:schemeClr val="dk1">
            <a:lumMod val="15000"/>
            <a:lumOff val="85000"/>
          </a:schemeClr>
        </a:solidFill>
        <a:round/>
      </a:ln>
    </cs:spPr>
  </cs:gridlineMajor>
  <cs:gridlineMinor>
    <cs:lnRef idx="0"/>
    <cs:fillRef idx="0"/>
    <cs:effectRef idx="0"/>
    <cs:fontRef idx="minor">
      <a:schemeClr val="dk1"/>
    </cs:fontRef>
    <cs:spPr>
      <a:ln w="9525" cap="flat" cmpd="sng" algn="ctr">
        <a:solidFill>
          <a:schemeClr val="dk1">
            <a:lumMod val="5000"/>
            <a:lumOff val="95000"/>
          </a:schemeClr>
        </a:solidFill>
        <a:round/>
      </a:ln>
    </cs:spPr>
  </cs:gridlineMinor>
  <cs:hiLoLine>
    <cs:lnRef idx="0"/>
    <cs:fillRef idx="0"/>
    <cs:effectRef idx="0"/>
    <cs:fontRef idx="minor">
      <a:schemeClr val="dk1"/>
    </cs:fontRef>
    <cs:spPr>
      <a:ln w="9525" cap="flat" cmpd="sng" algn="ctr">
        <a:solidFill>
          <a:schemeClr val="dk1">
            <a:lumMod val="35000"/>
            <a:lumOff val="65000"/>
          </a:schemeClr>
        </a:solidFill>
        <a:round/>
      </a:ln>
    </cs:spPr>
  </cs:hiLoLine>
  <cs:leaderLine>
    <cs:lnRef idx="0"/>
    <cs:fillRef idx="0"/>
    <cs:effectRef idx="0"/>
    <cs:fontRef idx="minor">
      <a:schemeClr val="dk1"/>
    </cs:fontRef>
    <cs:spPr>
      <a:ln w="9525" cap="flat" cmpd="sng" algn="ctr">
        <a:solidFill>
          <a:schemeClr val="dk1">
            <a:lumMod val="35000"/>
            <a:lumOff val="65000"/>
          </a:schemeClr>
        </a:solidFill>
        <a:round/>
      </a:ln>
    </cs:spPr>
  </cs:leaderLine>
  <cs:legend>
    <cs:lnRef idx="0"/>
    <cs:fillRef idx="0"/>
    <cs:effectRef idx="0"/>
    <cs:fontRef idx="minor">
      <a:schemeClr val="dk1">
        <a:lumMod val="65000"/>
        <a:lumOff val="35000"/>
      </a:schemeClr>
    </cs:fontRef>
    <cs:defRPr sz="900" kern="1200"/>
  </cs:legend>
  <cs:plotArea>
    <cs:lnRef idx="0"/>
    <cs:fillRef idx="0"/>
    <cs:effectRef idx="0"/>
    <cs:fontRef idx="minor">
      <a:schemeClr val="dk1"/>
    </cs:fontRef>
    <cs:spPr>
      <a:pattFill prst="ltDnDiag">
        <a:fgClr>
          <a:schemeClr val="dk1">
            <a:lumMod val="15000"/>
            <a:lumOff val="85000"/>
          </a:schemeClr>
        </a:fgClr>
        <a:bgClr>
          <a:schemeClr val="lt1"/>
        </a:bgClr>
      </a:pattFill>
    </cs:spPr>
  </cs:plotArea>
  <cs:plotArea3D>
    <cs:lnRef idx="0"/>
    <cs:fillRef idx="0"/>
    <cs:effectRef idx="0"/>
    <cs:fontRef idx="minor">
      <a:schemeClr val="dk1"/>
    </cs:fontRef>
    <cs:spPr>
      <a:solidFill>
        <a:schemeClr val="lt1"/>
      </a:solidFill>
    </cs:spPr>
  </cs:plotArea3D>
  <cs:seriesAxis>
    <cs:lnRef idx="0"/>
    <cs:fillRef idx="0"/>
    <cs:effectRef idx="0"/>
    <cs:fontRef idx="minor">
      <a:schemeClr val="dk1">
        <a:lumMod val="65000"/>
        <a:lumOff val="35000"/>
      </a:schemeClr>
    </cs:fontRef>
    <cs:defRPr sz="900" kern="1200"/>
  </cs:seriesAxis>
  <cs:seriesLine>
    <cs:lnRef idx="0"/>
    <cs:fillRef idx="0"/>
    <cs:effectRef idx="0"/>
    <cs:fontRef idx="minor">
      <a:schemeClr val="dk1"/>
    </cs:fontRef>
    <cs:spPr>
      <a:ln w="9525" cap="flat" cmpd="sng" algn="ctr">
        <a:solidFill>
          <a:schemeClr val="dk1">
            <a:lumMod val="35000"/>
            <a:lumOff val="65000"/>
          </a:schemeClr>
        </a:solidFill>
        <a:round/>
      </a:ln>
    </cs:spPr>
  </cs:seriesLine>
  <cs:title>
    <cs:lnRef idx="0"/>
    <cs:fillRef idx="0"/>
    <cs:effectRef idx="0"/>
    <cs:fontRef idx="major">
      <a:schemeClr val="dk1">
        <a:lumMod val="50000"/>
        <a:lumOff val="50000"/>
      </a:schemeClr>
    </cs:fontRef>
    <cs:defRPr sz="1600" b="1" kern="1200" cap="none" spc="0" normalizeH="0" baseline="0"/>
  </cs:title>
  <cs:trendline>
    <cs:lnRef idx="0">
      <cs:styleClr val="auto"/>
    </cs:lnRef>
    <cs:fillRef idx="0"/>
    <cs:effectRef idx="0"/>
    <cs:fontRef idx="minor">
      <a:schemeClr val="dk1"/>
    </cs:fontRef>
    <cs:spPr>
      <a:ln w="19050" cap="rnd">
        <a:solidFill>
          <a:schemeClr val="phClr"/>
        </a:solidFill>
      </a:ln>
    </cs:spPr>
  </cs:trendline>
  <cs:trendlineLabel>
    <cs:lnRef idx="0"/>
    <cs:fillRef idx="0"/>
    <cs:effectRef idx="0"/>
    <cs:fontRef idx="minor">
      <a:schemeClr val="dk1">
        <a:lumMod val="65000"/>
        <a:lumOff val="35000"/>
      </a:schemeClr>
    </cs:fontRef>
    <cs:defRPr sz="900" kern="1200"/>
  </cs:trendlineLabel>
  <cs:upBar>
    <cs:lnRef idx="0"/>
    <cs:fillRef idx="0"/>
    <cs:effectRef idx="0"/>
    <cs:fontRef idx="minor">
      <a:schemeClr val="dk1"/>
    </cs:fontRef>
    <cs:spPr>
      <a:solidFill>
        <a:schemeClr val="lt1"/>
      </a:solidFill>
      <a:ln w="9525" cap="flat" cmpd="sng" algn="ctr">
        <a:solidFill>
          <a:schemeClr val="dk1">
            <a:lumMod val="50000"/>
            <a:lumOff val="50000"/>
          </a:schemeClr>
        </a:solidFill>
        <a:round/>
      </a:ln>
    </cs:spPr>
  </cs:upBar>
  <cs:valueAxis>
    <cs:lnRef idx="0"/>
    <cs:fillRef idx="0"/>
    <cs:effectRef idx="0"/>
    <cs:fontRef idx="minor">
      <a:schemeClr val="dk1">
        <a:lumMod val="65000"/>
        <a:lumOff val="35000"/>
      </a:schemeClr>
    </cs:fontRef>
    <cs:defRPr sz="900" kern="1200"/>
  </cs:valueAxis>
  <cs:wall>
    <cs:lnRef idx="0"/>
    <cs:fillRef idx="0"/>
    <cs:effectRef idx="0"/>
    <cs:fontRef idx="minor">
      <a:schemeClr val="dk1"/>
    </cs:fontRef>
    <cs:spPr>
      <a:pattFill prst="ltDnDiag">
        <a:fgClr>
          <a:schemeClr val="dk1">
            <a:lumMod val="15000"/>
            <a:lumOff val="85000"/>
          </a:schemeClr>
        </a:fgClr>
        <a:bgClr>
          <a:schemeClr val="lt1"/>
        </a:bgClr>
      </a:pattFill>
    </cs:spPr>
  </cs:wall>
</cs:chartStyle>
</file>

<file path=xl/charts/style6.xml><?xml version="1.0" encoding="utf-8"?>
<cs:chartStyle xmlns:cs="http://schemas.microsoft.com/office/drawing/2012/chartStyle" xmlns:a="http://schemas.openxmlformats.org/drawingml/2006/main" id="232">
  <cs:axisTitle>
    <cs:lnRef idx="0"/>
    <cs:fillRef idx="0"/>
    <cs:effectRef idx="0"/>
    <cs:fontRef idx="minor">
      <a:schemeClr val="dk1">
        <a:lumMod val="65000"/>
        <a:lumOff val="35000"/>
      </a:schemeClr>
    </cs:fontRef>
    <cs:defRPr sz="900" b="1" kern="1200"/>
  </cs:axisTitle>
  <cs:categoryAxis>
    <cs:lnRef idx="0"/>
    <cs:fillRef idx="0"/>
    <cs:effectRef idx="0"/>
    <cs:fontRef idx="minor">
      <a:schemeClr val="dk1">
        <a:lumMod val="65000"/>
        <a:lumOff val="35000"/>
      </a:schemeClr>
    </cs:fontRef>
    <cs:spPr>
      <a:ln w="9525" cap="flat" cmpd="sng" algn="ctr">
        <a:solidFill>
          <a:schemeClr val="dk1">
            <a:lumMod val="15000"/>
            <a:lumOff val="85000"/>
          </a:schemeClr>
        </a:solidFill>
        <a:round/>
      </a:ln>
    </cs:spPr>
    <cs:defRPr sz="900" kern="1200" cap="none" spc="0" normalizeH="0" baseline="0"/>
  </cs:categoryAxis>
  <cs:chartArea>
    <cs:lnRef idx="0"/>
    <cs:fillRef idx="0"/>
    <cs:effectRef idx="0"/>
    <cs:fontRef idx="minor">
      <a:schemeClr val="dk1"/>
    </cs:fontRef>
    <cs:spPr>
      <a:solidFill>
        <a:schemeClr val="lt1"/>
      </a:solidFill>
      <a:ln w="9525" cap="flat" cmpd="sng" algn="ctr">
        <a:solidFill>
          <a:schemeClr val="dk1">
            <a:lumMod val="15000"/>
            <a:lumOff val="85000"/>
          </a:schemeClr>
        </a:solidFill>
        <a:round/>
      </a:ln>
    </cs:spPr>
    <cs:defRPr sz="900" kern="1200"/>
  </cs:chartArea>
  <cs:dataLabel>
    <cs:lnRef idx="0"/>
    <cs:fillRef idx="0"/>
    <cs:effectRef idx="0"/>
    <cs:fontRef idx="minor">
      <a:schemeClr val="dk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0">
      <cs:styleClr val="auto"/>
    </cs:fillRef>
    <cs:effectRef idx="0"/>
    <cs:fontRef idx="minor">
      <a:schemeClr val="dk1"/>
    </cs:fontRef>
    <cs:spPr>
      <a:solidFill>
        <a:schemeClr val="phClr"/>
      </a:solidFill>
    </cs:spPr>
  </cs:dataPoint>
  <cs:dataPoint3D>
    <cs:lnRef idx="0"/>
    <cs:fillRef idx="0">
      <cs:styleClr val="auto"/>
    </cs:fillRef>
    <cs:effectRef idx="0"/>
    <cs:fontRef idx="minor">
      <a:schemeClr val="dk1"/>
    </cs:fontRef>
    <cs:spPr>
      <a:solidFill>
        <a:schemeClr val="phClr"/>
      </a:solidFill>
    </cs:spPr>
  </cs:dataPoint3D>
  <cs:dataPointLine>
    <cs:lnRef idx="0">
      <cs:styleClr val="auto"/>
    </cs:lnRef>
    <cs:fillRef idx="0"/>
    <cs:effectRef idx="0"/>
    <cs:fontRef idx="minor">
      <a:schemeClr val="dk1"/>
    </cs:fontRef>
    <cs:spPr>
      <a:ln w="22225" cap="rnd">
        <a:solidFill>
          <a:schemeClr val="phClr"/>
        </a:solidFill>
        <a:round/>
      </a:ln>
    </cs:spPr>
  </cs:dataPointLine>
  <cs:dataPointMarker>
    <cs:lnRef idx="0">
      <cs:styleClr val="auto"/>
    </cs:lnRef>
    <cs:fillRef idx="0">
      <cs:styleClr val="auto"/>
    </cs:fillRef>
    <cs:effectRef idx="0"/>
    <cs:fontRef idx="minor">
      <a:schemeClr val="dk1"/>
    </cs:fontRef>
    <cs:spPr>
      <a:solidFill>
        <a:schemeClr val="lt1"/>
      </a:solidFill>
      <a:ln w="15875">
        <a:solidFill>
          <a:schemeClr val="phClr"/>
        </a:solidFill>
        <a:round/>
      </a:ln>
    </cs:spPr>
  </cs:dataPointMarker>
  <cs:dataPointMarkerLayout symbol="circle" size="6"/>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dk1">
        <a:lumMod val="65000"/>
        <a:lumOff val="35000"/>
      </a:schemeClr>
    </cs:fontRef>
    <cs:spPr>
      <a:ln w="9525" cap="flat" cmpd="sng" algn="ctr">
        <a:solidFill>
          <a:schemeClr val="dk1">
            <a:lumMod val="15000"/>
            <a:lumOff val="85000"/>
          </a:schemeClr>
        </a:solidFill>
        <a:round/>
      </a:ln>
    </cs:spPr>
    <cs:defRPr sz="800" kern="1200"/>
  </cs:dataTable>
  <cs:downBar>
    <cs:lnRef idx="0"/>
    <cs:fillRef idx="0"/>
    <cs:effectRef idx="0"/>
    <cs:fontRef idx="minor">
      <a:schemeClr val="dk1"/>
    </cs:fontRef>
    <cs:spPr>
      <a:solidFill>
        <a:schemeClr val="dk1">
          <a:lumMod val="75000"/>
          <a:lumOff val="25000"/>
        </a:schemeClr>
      </a:solidFill>
      <a:ln w="9525" cap="flat" cmpd="sng" algn="ctr">
        <a:solidFill>
          <a:schemeClr val="dk1">
            <a:lumMod val="50000"/>
            <a:lumOff val="50000"/>
          </a:schemeClr>
        </a:solidFill>
        <a:round/>
      </a:ln>
    </cs:spPr>
  </cs:downBar>
  <cs:dropLine>
    <cs:lnRef idx="0"/>
    <cs:fillRef idx="0"/>
    <cs:effectRef idx="0"/>
    <cs:fontRef idx="minor">
      <a:schemeClr val="dk1"/>
    </cs:fontRef>
    <cs:spPr>
      <a:ln w="9525" cap="flat" cmpd="sng" algn="ctr">
        <a:solidFill>
          <a:schemeClr val="dk1">
            <a:lumMod val="35000"/>
            <a:lumOff val="65000"/>
          </a:schemeClr>
        </a:solidFill>
        <a:round/>
      </a:ln>
    </cs:spPr>
  </cs:dropLine>
  <cs:errorBar>
    <cs:lnRef idx="0"/>
    <cs:fillRef idx="0"/>
    <cs:effectRef idx="0"/>
    <cs:fontRef idx="minor">
      <a:schemeClr val="dk1"/>
    </cs:fontRef>
    <cs:spPr>
      <a:ln w="9525" cap="flat" cmpd="sng" algn="ctr">
        <a:solidFill>
          <a:schemeClr val="dk1">
            <a:lumMod val="50000"/>
            <a:lumOff val="50000"/>
          </a:schemeClr>
        </a:solidFill>
        <a:round/>
      </a:ln>
    </cs:spPr>
  </cs:errorBar>
  <cs:floor>
    <cs:lnRef idx="0"/>
    <cs:fillRef idx="0"/>
    <cs:effectRef idx="0"/>
    <cs:fontRef idx="minor">
      <a:schemeClr val="dk1"/>
    </cs:fontRef>
    <cs:spPr>
      <a:pattFill prst="ltDnDiag">
        <a:fgClr>
          <a:schemeClr val="dk1">
            <a:lumMod val="15000"/>
            <a:lumOff val="85000"/>
          </a:schemeClr>
        </a:fgClr>
        <a:bgClr>
          <a:schemeClr val="lt1"/>
        </a:bgClr>
      </a:pattFill>
    </cs:spPr>
  </cs:floor>
  <cs:gridlineMajor>
    <cs:lnRef idx="0"/>
    <cs:fillRef idx="0"/>
    <cs:effectRef idx="0"/>
    <cs:fontRef idx="minor">
      <a:schemeClr val="dk1"/>
    </cs:fontRef>
    <cs:spPr>
      <a:ln w="9525" cap="flat" cmpd="sng" algn="ctr">
        <a:solidFill>
          <a:schemeClr val="dk1">
            <a:lumMod val="15000"/>
            <a:lumOff val="85000"/>
            <a:alpha val="54000"/>
          </a:schemeClr>
        </a:solidFill>
        <a:round/>
      </a:ln>
    </cs:spPr>
  </cs:gridlineMajor>
  <cs:gridlineMinor>
    <cs:lnRef idx="0"/>
    <cs:fillRef idx="0"/>
    <cs:effectRef idx="0"/>
    <cs:fontRef idx="minor">
      <a:schemeClr val="dk1"/>
    </cs:fontRef>
    <cs:spPr>
      <a:ln w="9525" cap="flat" cmpd="sng" algn="ctr">
        <a:solidFill>
          <a:schemeClr val="dk1">
            <a:lumMod val="15000"/>
            <a:lumOff val="85000"/>
            <a:alpha val="51000"/>
          </a:schemeClr>
        </a:solidFill>
        <a:round/>
      </a:ln>
    </cs:spPr>
  </cs:gridlineMinor>
  <cs:hiLoLine>
    <cs:lnRef idx="0"/>
    <cs:fillRef idx="0"/>
    <cs:effectRef idx="0"/>
    <cs:fontRef idx="minor">
      <a:schemeClr val="dk1"/>
    </cs:fontRef>
    <cs:spPr>
      <a:ln w="9525" cap="flat" cmpd="sng" algn="ctr">
        <a:solidFill>
          <a:schemeClr val="dk1">
            <a:lumMod val="35000"/>
            <a:lumOff val="65000"/>
          </a:schemeClr>
        </a:solidFill>
        <a:round/>
      </a:ln>
    </cs:spPr>
  </cs:hiLoLine>
  <cs:leaderLine>
    <cs:lnRef idx="0"/>
    <cs:fillRef idx="0"/>
    <cs:effectRef idx="0"/>
    <cs:fontRef idx="minor">
      <a:schemeClr val="dk1"/>
    </cs:fontRef>
    <cs:spPr>
      <a:ln w="9525" cap="flat" cmpd="sng" algn="ctr">
        <a:solidFill>
          <a:schemeClr val="dk1">
            <a:lumMod val="35000"/>
            <a:lumOff val="65000"/>
          </a:schemeClr>
        </a:solidFill>
        <a:round/>
      </a:ln>
    </cs:spPr>
  </cs:leaderLine>
  <cs:legend>
    <cs:lnRef idx="0"/>
    <cs:fillRef idx="0"/>
    <cs:effectRef idx="0"/>
    <cs:fontRef idx="minor">
      <a:schemeClr val="dk1">
        <a:lumMod val="65000"/>
        <a:lumOff val="35000"/>
      </a:schemeClr>
    </cs:fontRef>
    <cs:defRPr sz="900" kern="1200"/>
  </cs:legend>
  <cs:plotArea>
    <cs:lnRef idx="0"/>
    <cs:fillRef idx="0"/>
    <cs:effectRef idx="0"/>
    <cs:fontRef idx="minor">
      <a:schemeClr val="dk1"/>
    </cs:fontRef>
    <cs:spPr>
      <a:pattFill prst="ltDnDiag">
        <a:fgClr>
          <a:schemeClr val="dk1">
            <a:lumMod val="15000"/>
            <a:lumOff val="85000"/>
          </a:schemeClr>
        </a:fgClr>
        <a:bgClr>
          <a:schemeClr val="lt1"/>
        </a:bgClr>
      </a:pattFill>
    </cs:spPr>
  </cs:plotArea>
  <cs:plotArea3D>
    <cs:lnRef idx="0"/>
    <cs:fillRef idx="0"/>
    <cs:effectRef idx="0"/>
    <cs:fontRef idx="minor">
      <a:schemeClr val="dk1"/>
    </cs:fontRef>
    <cs:spPr>
      <a:solidFill>
        <a:schemeClr val="lt1"/>
      </a:solidFill>
    </cs:spPr>
  </cs:plotArea3D>
  <cs:seriesAxis>
    <cs:lnRef idx="0"/>
    <cs:fillRef idx="0"/>
    <cs:effectRef idx="0"/>
    <cs:fontRef idx="minor">
      <a:schemeClr val="dk1">
        <a:lumMod val="65000"/>
        <a:lumOff val="35000"/>
      </a:schemeClr>
    </cs:fontRef>
    <cs:defRPr sz="900" kern="1200"/>
  </cs:seriesAxis>
  <cs:seriesLine>
    <cs:lnRef idx="0"/>
    <cs:fillRef idx="0"/>
    <cs:effectRef idx="0"/>
    <cs:fontRef idx="minor">
      <a:schemeClr val="dk1"/>
    </cs:fontRef>
    <cs:spPr>
      <a:ln w="9525" cap="flat" cmpd="sng" algn="ctr">
        <a:solidFill>
          <a:schemeClr val="dk1">
            <a:lumMod val="35000"/>
            <a:lumOff val="65000"/>
          </a:schemeClr>
        </a:solidFill>
        <a:round/>
      </a:ln>
    </cs:spPr>
  </cs:seriesLine>
  <cs:title>
    <cs:lnRef idx="0"/>
    <cs:fillRef idx="0"/>
    <cs:effectRef idx="0"/>
    <cs:fontRef idx="major">
      <a:schemeClr val="dk1">
        <a:lumMod val="50000"/>
        <a:lumOff val="50000"/>
      </a:schemeClr>
    </cs:fontRef>
    <cs:defRPr sz="1600" b="1" kern="1200" cap="none" spc="0" normalizeH="0" baseline="0"/>
  </cs:title>
  <cs:trendline>
    <cs:lnRef idx="0">
      <cs:styleClr val="auto"/>
    </cs:lnRef>
    <cs:fillRef idx="0"/>
    <cs:effectRef idx="0"/>
    <cs:fontRef idx="minor">
      <a:schemeClr val="dk1"/>
    </cs:fontRef>
    <cs:spPr>
      <a:ln w="19050" cap="rnd">
        <a:solidFill>
          <a:schemeClr val="phClr"/>
        </a:solidFill>
      </a:ln>
    </cs:spPr>
  </cs:trendline>
  <cs:trendlineLabel>
    <cs:lnRef idx="0"/>
    <cs:fillRef idx="0"/>
    <cs:effectRef idx="0"/>
    <cs:fontRef idx="minor">
      <a:schemeClr val="dk1">
        <a:lumMod val="65000"/>
        <a:lumOff val="35000"/>
      </a:schemeClr>
    </cs:fontRef>
    <cs:defRPr sz="900" kern="1200"/>
  </cs:trendlineLabel>
  <cs:upBar>
    <cs:lnRef idx="0"/>
    <cs:fillRef idx="0"/>
    <cs:effectRef idx="0"/>
    <cs:fontRef idx="minor">
      <a:schemeClr val="dk1"/>
    </cs:fontRef>
    <cs:spPr>
      <a:solidFill>
        <a:schemeClr val="lt1"/>
      </a:solidFill>
      <a:ln w="9525" cap="flat" cmpd="sng" algn="ctr">
        <a:solidFill>
          <a:schemeClr val="dk1">
            <a:lumMod val="50000"/>
            <a:lumOff val="50000"/>
          </a:schemeClr>
        </a:solidFill>
        <a:round/>
      </a:ln>
    </cs:spPr>
  </cs:upBar>
  <cs:valueAxis>
    <cs:lnRef idx="0"/>
    <cs:fillRef idx="0"/>
    <cs:effectRef idx="0"/>
    <cs:fontRef idx="minor">
      <a:schemeClr val="dk1">
        <a:lumMod val="65000"/>
        <a:lumOff val="35000"/>
      </a:schemeClr>
    </cs:fontRef>
    <cs:defRPr sz="900" kern="1200"/>
  </cs:valueAxis>
  <cs:wall>
    <cs:lnRef idx="0"/>
    <cs:fillRef idx="0"/>
    <cs:effectRef idx="0"/>
    <cs:fontRef idx="minor">
      <a:schemeClr val="dk1"/>
    </cs:fontRef>
    <cs:spPr>
      <a:pattFill prst="ltDnDiag">
        <a:fgClr>
          <a:schemeClr val="dk1">
            <a:lumMod val="15000"/>
            <a:lumOff val="85000"/>
          </a:schemeClr>
        </a:fgClr>
        <a:bgClr>
          <a:schemeClr val="lt1"/>
        </a:bgClr>
      </a:pattFill>
    </cs:spPr>
  </cs:wall>
</cs:chartStyle>
</file>

<file path=xl/charts/style7.xml><?xml version="1.0" encoding="utf-8"?>
<cs:chartStyle xmlns:cs="http://schemas.microsoft.com/office/drawing/2012/chartStyle" xmlns:a="http://schemas.openxmlformats.org/drawingml/2006/main" id="221">
  <cs:axisTitle>
    <cs:lnRef idx="0"/>
    <cs:fillRef idx="0"/>
    <cs:effectRef idx="0"/>
    <cs:fontRef idx="minor">
      <a:schemeClr val="dk1">
        <a:lumMod val="65000"/>
        <a:lumOff val="35000"/>
      </a:schemeClr>
    </cs:fontRef>
    <cs:defRPr sz="900" b="1" kern="1200"/>
  </cs:axisTitle>
  <cs:categoryAxis>
    <cs:lnRef idx="0"/>
    <cs:fillRef idx="0"/>
    <cs:effectRef idx="0"/>
    <cs:fontRef idx="minor">
      <a:schemeClr val="dk1">
        <a:lumMod val="65000"/>
        <a:lumOff val="35000"/>
      </a:schemeClr>
    </cs:fontRef>
    <cs:spPr>
      <a:ln w="9525" cap="flat" cmpd="sng" algn="ctr">
        <a:solidFill>
          <a:schemeClr val="dk1">
            <a:lumMod val="15000"/>
            <a:lumOff val="85000"/>
          </a:schemeClr>
        </a:solidFill>
        <a:round/>
      </a:ln>
    </cs:spPr>
    <cs:defRPr sz="900" kern="1200" cap="none" spc="0" normalizeH="0" baseline="0"/>
  </cs:categoryAxis>
  <cs:chartArea>
    <cs:lnRef idx="0"/>
    <cs:fillRef idx="0"/>
    <cs:effectRef idx="0"/>
    <cs:fontRef idx="minor">
      <a:schemeClr val="dk1"/>
    </cs:fontRef>
    <cs:spPr>
      <a:solidFill>
        <a:schemeClr val="lt1"/>
      </a:solidFill>
      <a:ln w="9525" cap="flat" cmpd="sng" algn="ctr">
        <a:solidFill>
          <a:schemeClr val="dk1">
            <a:lumMod val="15000"/>
            <a:lumOff val="85000"/>
          </a:schemeClr>
        </a:solidFill>
        <a:round/>
      </a:ln>
    </cs:spPr>
    <cs:defRPr sz="900" kern="1200"/>
  </cs:chartArea>
  <cs:dataLabel>
    <cs:lnRef idx="0"/>
    <cs:fillRef idx="0"/>
    <cs:effectRef idx="0"/>
    <cs:fontRef idx="minor">
      <a:schemeClr val="dk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0">
      <cs:styleClr val="auto"/>
    </cs:fillRef>
    <cs:effectRef idx="0"/>
    <cs:fontRef idx="minor">
      <a:schemeClr val="dk1"/>
    </cs:fontRef>
    <cs:spPr>
      <a:solidFill>
        <a:schemeClr val="phClr"/>
      </a:solidFill>
    </cs:spPr>
  </cs:dataPoint>
  <cs:dataPoint3D>
    <cs:lnRef idx="0"/>
    <cs:fillRef idx="0">
      <cs:styleClr val="auto"/>
    </cs:fillRef>
    <cs:effectRef idx="0"/>
    <cs:fontRef idx="minor">
      <a:schemeClr val="dk1"/>
    </cs:fontRef>
    <cs:spPr>
      <a:solidFill>
        <a:schemeClr val="phClr"/>
      </a:solidFill>
    </cs:spPr>
  </cs:dataPoint3D>
  <cs:dataPointLine>
    <cs:lnRef idx="0">
      <cs:styleClr val="auto"/>
    </cs:lnRef>
    <cs:fillRef idx="0"/>
    <cs:effectRef idx="0"/>
    <cs:fontRef idx="minor">
      <a:schemeClr val="dk1"/>
    </cs:fontRef>
    <cs:spPr>
      <a:ln w="22225" cap="rnd">
        <a:solidFill>
          <a:schemeClr val="phClr"/>
        </a:solidFill>
        <a:round/>
      </a:ln>
    </cs:spPr>
  </cs:dataPointLine>
  <cs:dataPointMarker>
    <cs:lnRef idx="0">
      <cs:styleClr val="auto"/>
    </cs:lnRef>
    <cs:fillRef idx="0">
      <cs:styleClr val="auto"/>
    </cs:fillRef>
    <cs:effectRef idx="0"/>
    <cs:fontRef idx="minor">
      <a:schemeClr val="dk1"/>
    </cs:fontRef>
    <cs:spPr>
      <a:solidFill>
        <a:schemeClr val="lt1"/>
      </a:solidFill>
      <a:ln w="15875">
        <a:solidFill>
          <a:schemeClr val="phClr"/>
        </a:solidFill>
        <a:round/>
      </a:ln>
    </cs:spPr>
  </cs:dataPointMarker>
  <cs:dataPointMarkerLayout symbol="circle" size="6"/>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dk1">
        <a:lumMod val="65000"/>
        <a:lumOff val="35000"/>
      </a:schemeClr>
    </cs:fontRef>
    <cs:spPr>
      <a:ln w="9525" cap="flat" cmpd="sng" algn="ctr">
        <a:solidFill>
          <a:schemeClr val="dk1">
            <a:lumMod val="15000"/>
            <a:lumOff val="85000"/>
          </a:schemeClr>
        </a:solidFill>
        <a:round/>
      </a:ln>
    </cs:spPr>
    <cs:defRPr sz="800" kern="1200"/>
  </cs:dataTable>
  <cs:downBar>
    <cs:lnRef idx="0"/>
    <cs:fillRef idx="0"/>
    <cs:effectRef idx="0"/>
    <cs:fontRef idx="minor">
      <a:schemeClr val="dk1"/>
    </cs:fontRef>
    <cs:spPr>
      <a:solidFill>
        <a:schemeClr val="dk1">
          <a:lumMod val="75000"/>
          <a:lumOff val="25000"/>
        </a:schemeClr>
      </a:solidFill>
      <a:ln w="9525" cap="flat" cmpd="sng" algn="ctr">
        <a:solidFill>
          <a:schemeClr val="dk1">
            <a:lumMod val="50000"/>
            <a:lumOff val="50000"/>
          </a:schemeClr>
        </a:solidFill>
        <a:round/>
      </a:ln>
    </cs:spPr>
  </cs:downBar>
  <cs:dropLine>
    <cs:lnRef idx="0"/>
    <cs:fillRef idx="0"/>
    <cs:effectRef idx="0"/>
    <cs:fontRef idx="minor">
      <a:schemeClr val="dk1"/>
    </cs:fontRef>
    <cs:spPr>
      <a:ln w="9525" cap="flat" cmpd="sng" algn="ctr">
        <a:solidFill>
          <a:schemeClr val="dk1">
            <a:lumMod val="35000"/>
            <a:lumOff val="65000"/>
          </a:schemeClr>
        </a:solidFill>
        <a:round/>
      </a:ln>
    </cs:spPr>
  </cs:dropLine>
  <cs:errorBar>
    <cs:lnRef idx="0"/>
    <cs:fillRef idx="0"/>
    <cs:effectRef idx="0"/>
    <cs:fontRef idx="minor">
      <a:schemeClr val="dk1"/>
    </cs:fontRef>
    <cs:spPr>
      <a:ln w="9525" cap="flat" cmpd="sng" algn="ctr">
        <a:solidFill>
          <a:schemeClr val="dk1">
            <a:lumMod val="50000"/>
            <a:lumOff val="50000"/>
          </a:schemeClr>
        </a:solidFill>
        <a:round/>
      </a:ln>
    </cs:spPr>
  </cs:errorBar>
  <cs:floor>
    <cs:lnRef idx="0"/>
    <cs:fillRef idx="0"/>
    <cs:effectRef idx="0"/>
    <cs:fontRef idx="minor">
      <a:schemeClr val="dk1"/>
    </cs:fontRef>
    <cs:spPr>
      <a:pattFill prst="ltDnDiag">
        <a:fgClr>
          <a:schemeClr val="dk1">
            <a:lumMod val="15000"/>
            <a:lumOff val="85000"/>
          </a:schemeClr>
        </a:fgClr>
        <a:bgClr>
          <a:schemeClr val="lt1"/>
        </a:bgClr>
      </a:pattFill>
    </cs:spPr>
  </cs:floor>
  <cs:gridlineMajor>
    <cs:lnRef idx="0"/>
    <cs:fillRef idx="0"/>
    <cs:effectRef idx="0"/>
    <cs:fontRef idx="minor">
      <a:schemeClr val="dk1"/>
    </cs:fontRef>
    <cs:spPr>
      <a:ln w="9525" cap="flat" cmpd="sng" algn="ctr">
        <a:solidFill>
          <a:schemeClr val="dk1">
            <a:lumMod val="15000"/>
            <a:lumOff val="85000"/>
          </a:schemeClr>
        </a:solidFill>
        <a:round/>
      </a:ln>
    </cs:spPr>
  </cs:gridlineMajor>
  <cs:gridlineMinor>
    <cs:lnRef idx="0"/>
    <cs:fillRef idx="0"/>
    <cs:effectRef idx="0"/>
    <cs:fontRef idx="minor">
      <a:schemeClr val="dk1"/>
    </cs:fontRef>
    <cs:spPr>
      <a:ln w="9525" cap="flat" cmpd="sng" algn="ctr">
        <a:solidFill>
          <a:schemeClr val="dk1">
            <a:lumMod val="5000"/>
            <a:lumOff val="95000"/>
          </a:schemeClr>
        </a:solidFill>
        <a:round/>
      </a:ln>
    </cs:spPr>
  </cs:gridlineMinor>
  <cs:hiLoLine>
    <cs:lnRef idx="0"/>
    <cs:fillRef idx="0"/>
    <cs:effectRef idx="0"/>
    <cs:fontRef idx="minor">
      <a:schemeClr val="dk1"/>
    </cs:fontRef>
    <cs:spPr>
      <a:ln w="9525" cap="flat" cmpd="sng" algn="ctr">
        <a:solidFill>
          <a:schemeClr val="dk1">
            <a:lumMod val="35000"/>
            <a:lumOff val="65000"/>
          </a:schemeClr>
        </a:solidFill>
        <a:round/>
      </a:ln>
    </cs:spPr>
  </cs:hiLoLine>
  <cs:leaderLine>
    <cs:lnRef idx="0"/>
    <cs:fillRef idx="0"/>
    <cs:effectRef idx="0"/>
    <cs:fontRef idx="minor">
      <a:schemeClr val="dk1"/>
    </cs:fontRef>
    <cs:spPr>
      <a:ln w="9525" cap="flat" cmpd="sng" algn="ctr">
        <a:solidFill>
          <a:schemeClr val="dk1">
            <a:lumMod val="35000"/>
            <a:lumOff val="65000"/>
          </a:schemeClr>
        </a:solidFill>
        <a:round/>
      </a:ln>
    </cs:spPr>
  </cs:leaderLine>
  <cs:legend>
    <cs:lnRef idx="0"/>
    <cs:fillRef idx="0"/>
    <cs:effectRef idx="0"/>
    <cs:fontRef idx="minor">
      <a:schemeClr val="dk1">
        <a:lumMod val="65000"/>
        <a:lumOff val="35000"/>
      </a:schemeClr>
    </cs:fontRef>
    <cs:defRPr sz="900" kern="1200"/>
  </cs:legend>
  <cs:plotArea>
    <cs:lnRef idx="0"/>
    <cs:fillRef idx="0"/>
    <cs:effectRef idx="0"/>
    <cs:fontRef idx="minor">
      <a:schemeClr val="dk1"/>
    </cs:fontRef>
    <cs:spPr>
      <a:pattFill prst="ltDnDiag">
        <a:fgClr>
          <a:schemeClr val="dk1">
            <a:lumMod val="15000"/>
            <a:lumOff val="85000"/>
          </a:schemeClr>
        </a:fgClr>
        <a:bgClr>
          <a:schemeClr val="lt1"/>
        </a:bgClr>
      </a:pattFill>
    </cs:spPr>
  </cs:plotArea>
  <cs:plotArea3D>
    <cs:lnRef idx="0"/>
    <cs:fillRef idx="0"/>
    <cs:effectRef idx="0"/>
    <cs:fontRef idx="minor">
      <a:schemeClr val="dk1"/>
    </cs:fontRef>
    <cs:spPr>
      <a:solidFill>
        <a:schemeClr val="lt1"/>
      </a:solidFill>
    </cs:spPr>
  </cs:plotArea3D>
  <cs:seriesAxis>
    <cs:lnRef idx="0"/>
    <cs:fillRef idx="0"/>
    <cs:effectRef idx="0"/>
    <cs:fontRef idx="minor">
      <a:schemeClr val="dk1">
        <a:lumMod val="65000"/>
        <a:lumOff val="35000"/>
      </a:schemeClr>
    </cs:fontRef>
    <cs:defRPr sz="900" kern="1200"/>
  </cs:seriesAxis>
  <cs:seriesLine>
    <cs:lnRef idx="0"/>
    <cs:fillRef idx="0"/>
    <cs:effectRef idx="0"/>
    <cs:fontRef idx="minor">
      <a:schemeClr val="dk1"/>
    </cs:fontRef>
    <cs:spPr>
      <a:ln w="9525" cap="flat" cmpd="sng" algn="ctr">
        <a:solidFill>
          <a:schemeClr val="dk1">
            <a:lumMod val="35000"/>
            <a:lumOff val="65000"/>
          </a:schemeClr>
        </a:solidFill>
        <a:round/>
      </a:ln>
    </cs:spPr>
  </cs:seriesLine>
  <cs:title>
    <cs:lnRef idx="0"/>
    <cs:fillRef idx="0"/>
    <cs:effectRef idx="0"/>
    <cs:fontRef idx="major">
      <a:schemeClr val="dk1">
        <a:lumMod val="50000"/>
        <a:lumOff val="50000"/>
      </a:schemeClr>
    </cs:fontRef>
    <cs:defRPr sz="1600" b="1" kern="1200" cap="none" spc="0" normalizeH="0" baseline="0"/>
  </cs:title>
  <cs:trendline>
    <cs:lnRef idx="0">
      <cs:styleClr val="auto"/>
    </cs:lnRef>
    <cs:fillRef idx="0"/>
    <cs:effectRef idx="0"/>
    <cs:fontRef idx="minor">
      <a:schemeClr val="dk1"/>
    </cs:fontRef>
    <cs:spPr>
      <a:ln w="19050" cap="rnd">
        <a:solidFill>
          <a:schemeClr val="phClr"/>
        </a:solidFill>
      </a:ln>
    </cs:spPr>
  </cs:trendline>
  <cs:trendlineLabel>
    <cs:lnRef idx="0"/>
    <cs:fillRef idx="0"/>
    <cs:effectRef idx="0"/>
    <cs:fontRef idx="minor">
      <a:schemeClr val="dk1">
        <a:lumMod val="65000"/>
        <a:lumOff val="35000"/>
      </a:schemeClr>
    </cs:fontRef>
    <cs:defRPr sz="900" kern="1200"/>
  </cs:trendlineLabel>
  <cs:upBar>
    <cs:lnRef idx="0"/>
    <cs:fillRef idx="0"/>
    <cs:effectRef idx="0"/>
    <cs:fontRef idx="minor">
      <a:schemeClr val="dk1"/>
    </cs:fontRef>
    <cs:spPr>
      <a:solidFill>
        <a:schemeClr val="lt1"/>
      </a:solidFill>
      <a:ln w="9525" cap="flat" cmpd="sng" algn="ctr">
        <a:solidFill>
          <a:schemeClr val="dk1">
            <a:lumMod val="50000"/>
            <a:lumOff val="50000"/>
          </a:schemeClr>
        </a:solidFill>
        <a:round/>
      </a:ln>
    </cs:spPr>
  </cs:upBar>
  <cs:valueAxis>
    <cs:lnRef idx="0"/>
    <cs:fillRef idx="0"/>
    <cs:effectRef idx="0"/>
    <cs:fontRef idx="minor">
      <a:schemeClr val="dk1">
        <a:lumMod val="65000"/>
        <a:lumOff val="35000"/>
      </a:schemeClr>
    </cs:fontRef>
    <cs:defRPr sz="900" kern="1200"/>
  </cs:valueAxis>
  <cs:wall>
    <cs:lnRef idx="0"/>
    <cs:fillRef idx="0"/>
    <cs:effectRef idx="0"/>
    <cs:fontRef idx="minor">
      <a:schemeClr val="dk1"/>
    </cs:fontRef>
    <cs:spPr>
      <a:pattFill prst="ltDnDiag">
        <a:fgClr>
          <a:schemeClr val="dk1">
            <a:lumMod val="15000"/>
            <a:lumOff val="85000"/>
          </a:schemeClr>
        </a:fgClr>
        <a:bgClr>
          <a:schemeClr val="lt1"/>
        </a:bgClr>
      </a:pattFill>
    </cs:spPr>
  </cs:wall>
</cs:chartStyle>
</file>

<file path=xl/charts/style8.xml><?xml version="1.0" encoding="utf-8"?>
<cs:chartStyle xmlns:cs="http://schemas.microsoft.com/office/drawing/2012/chartStyle" xmlns:a="http://schemas.openxmlformats.org/drawingml/2006/main" id="252">
  <cs:axisTitle>
    <cs:lnRef idx="0"/>
    <cs:fillRef idx="0"/>
    <cs:effectRef idx="0"/>
    <cs:fontRef idx="minor">
      <a:schemeClr val="tx1">
        <a:lumMod val="65000"/>
        <a:lumOff val="35000"/>
      </a:schemeClr>
    </cs:fontRef>
    <cs:defRPr sz="900" b="1" kern="1200"/>
  </cs:axisTitle>
  <cs:categoryAxis>
    <cs:lnRef idx="0"/>
    <cs:fillRef idx="0"/>
    <cs:effectRef idx="0"/>
    <cs:fontRef idx="minor">
      <a:schemeClr val="tx1">
        <a:lumMod val="65000"/>
        <a:lumOff val="35000"/>
      </a:schemeClr>
    </cs:fontRef>
    <cs:spPr>
      <a:ln w="19050"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dk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0">
      <cs:styleClr val="auto"/>
    </cs:fillRef>
    <cs:effectRef idx="0">
      <cs:styleClr val="auto"/>
    </cs:effectRef>
    <cs:fontRef idx="minor">
      <a:schemeClr val="dk1"/>
    </cs:fontRef>
    <cs:spPr>
      <a:pattFill prst="ltUpDiag">
        <a:fgClr>
          <a:schemeClr val="phClr"/>
        </a:fgClr>
        <a:bgClr>
          <a:schemeClr val="phClr">
            <a:lumMod val="20000"/>
            <a:lumOff val="80000"/>
          </a:schemeClr>
        </a:bgClr>
      </a:pattFill>
      <a:ln w="19050">
        <a:solidFill>
          <a:schemeClr val="lt1"/>
        </a:solidFill>
      </a:ln>
      <a:effectLst>
        <a:innerShdw blurRad="114300">
          <a:schemeClr val="phClr"/>
        </a:innerShdw>
      </a:effectLst>
    </cs:spPr>
  </cs:dataPoint>
  <cs:dataPoint3D>
    <cs:lnRef idx="0"/>
    <cs:fillRef idx="0">
      <cs:styleClr val="auto"/>
    </cs:fillRef>
    <cs:effectRef idx="0"/>
    <cs:fontRef idx="minor">
      <a:schemeClr val="dk1"/>
    </cs:fontRef>
    <cs:spPr>
      <a:pattFill prst="ltUpDiag">
        <a:fgClr>
          <a:schemeClr val="phClr"/>
        </a:fgClr>
        <a:bgClr>
          <a:schemeClr val="phClr">
            <a:lumMod val="20000"/>
            <a:lumOff val="80000"/>
          </a:schemeClr>
        </a:bgClr>
      </a:pattFill>
      <a:ln w="19050">
        <a:solidFill>
          <a:schemeClr val="lt1"/>
        </a:solidFill>
      </a:ln>
      <a:effectLst>
        <a:innerShdw blurRad="114300">
          <a:schemeClr val="phClr"/>
        </a:innerShdw>
      </a:effectLst>
    </cs:spPr>
  </cs:dataPoint3D>
  <cs:dataPointLine>
    <cs:lnRef idx="0">
      <cs:styleClr val="auto"/>
    </cs:lnRef>
    <cs:fillRef idx="0"/>
    <cs:effectRef idx="0"/>
    <cs:fontRef idx="minor">
      <a:schemeClr val="dk1"/>
    </cs:fontRef>
    <cs:spPr>
      <a:ln w="28575" cap="rnd">
        <a:solidFill>
          <a:schemeClr val="phClr"/>
        </a:solidFill>
        <a:round/>
      </a:ln>
    </cs:spPr>
  </cs:dataPointLine>
  <cs:dataPointMarker>
    <cs:lnRef idx="0"/>
    <cs:fillRef idx="0">
      <cs:styleClr val="auto"/>
    </cs:fillRef>
    <cs:effectRef idx="0"/>
    <cs:fontRef idx="minor">
      <a:schemeClr val="dk1"/>
    </cs:fontRef>
    <cs:spPr>
      <a:solidFill>
        <a:schemeClr val="phClr"/>
      </a:solidFill>
      <a:ln w="9525">
        <a:solidFill>
          <a:schemeClr val="lt1"/>
        </a:solidFill>
      </a:ln>
    </cs:spPr>
  </cs:dataPointMarker>
  <cs:dataPointMarkerLayout symbol="circle" size="6"/>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ln w="9525">
        <a:solidFill>
          <a:schemeClr val="tx1">
            <a:lumMod val="15000"/>
            <a:lumOff val="85000"/>
          </a:schemeClr>
        </a:solidFill>
      </a:ln>
    </cs:spPr>
    <cs:defRPr sz="900" kern="1200"/>
  </cs:dataTable>
  <cs:downBar>
    <cs:lnRef idx="0"/>
    <cs:fillRef idx="0"/>
    <cs:effectRef idx="0"/>
    <cs:fontRef idx="minor">
      <a:schemeClr val="dk1"/>
    </cs:fontRef>
    <cs:spPr>
      <a:solidFill>
        <a:schemeClr val="dk1">
          <a:lumMod val="75000"/>
          <a:lumOff val="25000"/>
        </a:schemeClr>
      </a:solidFill>
      <a:ln w="9525">
        <a:solidFill>
          <a:schemeClr val="tx1">
            <a:lumMod val="50000"/>
            <a:lumOff val="50000"/>
          </a:schemeClr>
        </a:solidFill>
      </a:ln>
    </cs:spPr>
  </cs:downBar>
  <cs:dropLine>
    <cs:lnRef idx="0"/>
    <cs:fillRef idx="0"/>
    <cs:effectRef idx="0"/>
    <cs:fontRef idx="minor">
      <a:schemeClr val="dk1"/>
    </cs:fontRef>
    <cs:spPr>
      <a:ln w="9525">
        <a:solidFill>
          <a:schemeClr val="tx1">
            <a:lumMod val="35000"/>
            <a:lumOff val="65000"/>
          </a:schemeClr>
        </a:solidFill>
        <a:round/>
      </a:ln>
    </cs:spPr>
  </cs:dropLine>
  <cs:errorBar>
    <cs:lnRef idx="0"/>
    <cs:fillRef idx="0"/>
    <cs:effectRef idx="0"/>
    <cs:fontRef idx="minor">
      <a:schemeClr val="dk1"/>
    </cs:fontRef>
    <cs:spPr>
      <a:ln w="9525">
        <a:solidFill>
          <a:schemeClr val="tx1">
            <a:lumMod val="50000"/>
            <a:lumOff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a:solidFill>
          <a:schemeClr val="tx1">
            <a:lumMod val="15000"/>
            <a:lumOff val="85000"/>
          </a:schemeClr>
        </a:solidFill>
      </a:ln>
    </cs:spPr>
  </cs:gridlineMajor>
  <cs:gridlineMinor>
    <cs:lnRef idx="0"/>
    <cs:fillRef idx="0"/>
    <cs:effectRef idx="0"/>
    <cs:fontRef idx="minor">
      <a:schemeClr val="dk1"/>
    </cs:fontRef>
    <cs:spPr>
      <a:ln>
        <a:solidFill>
          <a:schemeClr val="tx1">
            <a:lumMod val="5000"/>
            <a:lumOff val="95000"/>
          </a:schemeClr>
        </a:solidFill>
      </a:ln>
    </cs:spPr>
  </cs:gridlineMinor>
  <cs:hiLoLine>
    <cs:lnRef idx="0"/>
    <cs:fillRef idx="0"/>
    <cs:effectRef idx="0"/>
    <cs:fontRef idx="minor">
      <a:schemeClr val="dk1"/>
    </cs:fontRef>
    <cs:spPr>
      <a:ln w="9525">
        <a:solidFill>
          <a:schemeClr val="tx1">
            <a:lumMod val="35000"/>
            <a:lumOff val="65000"/>
          </a:schemeClr>
        </a:solidFill>
        <a:round/>
      </a:ln>
    </cs:spPr>
  </cs:hiLoLine>
  <cs:leaderLine>
    <cs:lnRef idx="0"/>
    <cs:fillRef idx="0"/>
    <cs:effectRef idx="0"/>
    <cs:fontRef idx="minor">
      <a:schemeClr val="dk1"/>
    </cs:fontRef>
    <cs:spPr>
      <a:ln w="9525">
        <a:solidFill>
          <a:schemeClr val="tx1">
            <a:lumMod val="35000"/>
            <a:lumOff val="65000"/>
          </a:schemeClr>
        </a:solidFill>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dk1"/>
    </cs:fontRef>
  </cs:plotArea>
  <cs:plotArea3D mods="allowNoFillOverride allowNoLineOverride">
    <cs:lnRef idx="0"/>
    <cs:fillRef idx="0"/>
    <cs:effectRef idx="0"/>
    <cs:fontRef idx="minor">
      <a:schemeClr val="dk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dk1"/>
    </cs:fontRef>
    <cs:spPr>
      <a:ln w="9525">
        <a:solidFill>
          <a:schemeClr val="tx1">
            <a:lumMod val="35000"/>
            <a:lumOff val="65000"/>
          </a:schemeClr>
        </a:solidFill>
        <a:round/>
      </a:ln>
    </cs:spPr>
  </cs:seriesLine>
  <cs:title>
    <cs:lnRef idx="0"/>
    <cs:fillRef idx="0"/>
    <cs:effectRef idx="0"/>
    <cs:fontRef idx="minor">
      <a:schemeClr val="tx1">
        <a:lumMod val="50000"/>
        <a:lumOff val="50000"/>
      </a:schemeClr>
    </cs:fontRef>
    <cs:defRPr sz="1800" b="1" kern="1200" cap="all" spc="150" baseline="0"/>
  </cs:title>
  <cs:trendline>
    <cs:lnRef idx="0">
      <cs:styleClr val="auto"/>
    </cs:lnRef>
    <cs:fillRef idx="0"/>
    <cs:effectRef idx="0"/>
    <cs:fontRef idx="minor">
      <a:schemeClr val="dk1"/>
    </cs:fontRef>
    <cs:spPr>
      <a:ln w="19050" cap="rnd">
        <a:solidFill>
          <a:schemeClr val="phClr"/>
        </a:solidFill>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50000"/>
            <a:lumOff val="50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dk1"/>
    </cs:fontRef>
  </cs:wall>
</cs:chartStyle>
</file>

<file path=xl/charts/style9.xml><?xml version="1.0" encoding="utf-8"?>
<cs:chartStyle xmlns:cs="http://schemas.microsoft.com/office/drawing/2012/chartStyle" xmlns:a="http://schemas.openxmlformats.org/drawingml/2006/main" id="232">
  <cs:axisTitle>
    <cs:lnRef idx="0"/>
    <cs:fillRef idx="0"/>
    <cs:effectRef idx="0"/>
    <cs:fontRef idx="minor">
      <a:schemeClr val="dk1">
        <a:lumMod val="65000"/>
        <a:lumOff val="35000"/>
      </a:schemeClr>
    </cs:fontRef>
    <cs:defRPr sz="900" b="1" kern="1200"/>
  </cs:axisTitle>
  <cs:categoryAxis>
    <cs:lnRef idx="0"/>
    <cs:fillRef idx="0"/>
    <cs:effectRef idx="0"/>
    <cs:fontRef idx="minor">
      <a:schemeClr val="dk1">
        <a:lumMod val="65000"/>
        <a:lumOff val="35000"/>
      </a:schemeClr>
    </cs:fontRef>
    <cs:spPr>
      <a:ln w="9525" cap="flat" cmpd="sng" algn="ctr">
        <a:solidFill>
          <a:schemeClr val="dk1">
            <a:lumMod val="15000"/>
            <a:lumOff val="85000"/>
          </a:schemeClr>
        </a:solidFill>
        <a:round/>
      </a:ln>
    </cs:spPr>
    <cs:defRPr sz="900" kern="1200" cap="none" spc="0" normalizeH="0" baseline="0"/>
  </cs:categoryAxis>
  <cs:chartArea>
    <cs:lnRef idx="0"/>
    <cs:fillRef idx="0"/>
    <cs:effectRef idx="0"/>
    <cs:fontRef idx="minor">
      <a:schemeClr val="dk1"/>
    </cs:fontRef>
    <cs:spPr>
      <a:solidFill>
        <a:schemeClr val="lt1"/>
      </a:solidFill>
      <a:ln w="9525" cap="flat" cmpd="sng" algn="ctr">
        <a:solidFill>
          <a:schemeClr val="dk1">
            <a:lumMod val="15000"/>
            <a:lumOff val="85000"/>
          </a:schemeClr>
        </a:solidFill>
        <a:round/>
      </a:ln>
    </cs:spPr>
    <cs:defRPr sz="900" kern="1200"/>
  </cs:chartArea>
  <cs:dataLabel>
    <cs:lnRef idx="0"/>
    <cs:fillRef idx="0"/>
    <cs:effectRef idx="0"/>
    <cs:fontRef idx="minor">
      <a:schemeClr val="dk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0">
      <cs:styleClr val="auto"/>
    </cs:fillRef>
    <cs:effectRef idx="0"/>
    <cs:fontRef idx="minor">
      <a:schemeClr val="dk1"/>
    </cs:fontRef>
    <cs:spPr>
      <a:solidFill>
        <a:schemeClr val="phClr"/>
      </a:solidFill>
    </cs:spPr>
  </cs:dataPoint>
  <cs:dataPoint3D>
    <cs:lnRef idx="0"/>
    <cs:fillRef idx="0">
      <cs:styleClr val="auto"/>
    </cs:fillRef>
    <cs:effectRef idx="0"/>
    <cs:fontRef idx="minor">
      <a:schemeClr val="dk1"/>
    </cs:fontRef>
    <cs:spPr>
      <a:solidFill>
        <a:schemeClr val="phClr"/>
      </a:solidFill>
    </cs:spPr>
  </cs:dataPoint3D>
  <cs:dataPointLine>
    <cs:lnRef idx="0">
      <cs:styleClr val="auto"/>
    </cs:lnRef>
    <cs:fillRef idx="0"/>
    <cs:effectRef idx="0"/>
    <cs:fontRef idx="minor">
      <a:schemeClr val="dk1"/>
    </cs:fontRef>
    <cs:spPr>
      <a:ln w="22225" cap="rnd">
        <a:solidFill>
          <a:schemeClr val="phClr"/>
        </a:solidFill>
        <a:round/>
      </a:ln>
    </cs:spPr>
  </cs:dataPointLine>
  <cs:dataPointMarker>
    <cs:lnRef idx="0">
      <cs:styleClr val="auto"/>
    </cs:lnRef>
    <cs:fillRef idx="0">
      <cs:styleClr val="auto"/>
    </cs:fillRef>
    <cs:effectRef idx="0"/>
    <cs:fontRef idx="minor">
      <a:schemeClr val="dk1"/>
    </cs:fontRef>
    <cs:spPr>
      <a:solidFill>
        <a:schemeClr val="lt1"/>
      </a:solidFill>
      <a:ln w="15875">
        <a:solidFill>
          <a:schemeClr val="phClr"/>
        </a:solidFill>
        <a:round/>
      </a:ln>
    </cs:spPr>
  </cs:dataPointMarker>
  <cs:dataPointMarkerLayout symbol="circle" size="6"/>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dk1">
        <a:lumMod val="65000"/>
        <a:lumOff val="35000"/>
      </a:schemeClr>
    </cs:fontRef>
    <cs:spPr>
      <a:ln w="9525" cap="flat" cmpd="sng" algn="ctr">
        <a:solidFill>
          <a:schemeClr val="dk1">
            <a:lumMod val="15000"/>
            <a:lumOff val="85000"/>
          </a:schemeClr>
        </a:solidFill>
        <a:round/>
      </a:ln>
    </cs:spPr>
    <cs:defRPr sz="800" kern="1200"/>
  </cs:dataTable>
  <cs:downBar>
    <cs:lnRef idx="0"/>
    <cs:fillRef idx="0"/>
    <cs:effectRef idx="0"/>
    <cs:fontRef idx="minor">
      <a:schemeClr val="dk1"/>
    </cs:fontRef>
    <cs:spPr>
      <a:solidFill>
        <a:schemeClr val="dk1">
          <a:lumMod val="75000"/>
          <a:lumOff val="25000"/>
        </a:schemeClr>
      </a:solidFill>
      <a:ln w="9525" cap="flat" cmpd="sng" algn="ctr">
        <a:solidFill>
          <a:schemeClr val="dk1">
            <a:lumMod val="50000"/>
            <a:lumOff val="50000"/>
          </a:schemeClr>
        </a:solidFill>
        <a:round/>
      </a:ln>
    </cs:spPr>
  </cs:downBar>
  <cs:dropLine>
    <cs:lnRef idx="0"/>
    <cs:fillRef idx="0"/>
    <cs:effectRef idx="0"/>
    <cs:fontRef idx="minor">
      <a:schemeClr val="dk1"/>
    </cs:fontRef>
    <cs:spPr>
      <a:ln w="9525" cap="flat" cmpd="sng" algn="ctr">
        <a:solidFill>
          <a:schemeClr val="dk1">
            <a:lumMod val="35000"/>
            <a:lumOff val="65000"/>
          </a:schemeClr>
        </a:solidFill>
        <a:round/>
      </a:ln>
    </cs:spPr>
  </cs:dropLine>
  <cs:errorBar>
    <cs:lnRef idx="0"/>
    <cs:fillRef idx="0"/>
    <cs:effectRef idx="0"/>
    <cs:fontRef idx="minor">
      <a:schemeClr val="dk1"/>
    </cs:fontRef>
    <cs:spPr>
      <a:ln w="9525" cap="flat" cmpd="sng" algn="ctr">
        <a:solidFill>
          <a:schemeClr val="dk1">
            <a:lumMod val="50000"/>
            <a:lumOff val="50000"/>
          </a:schemeClr>
        </a:solidFill>
        <a:round/>
      </a:ln>
    </cs:spPr>
  </cs:errorBar>
  <cs:floor>
    <cs:lnRef idx="0"/>
    <cs:fillRef idx="0"/>
    <cs:effectRef idx="0"/>
    <cs:fontRef idx="minor">
      <a:schemeClr val="dk1"/>
    </cs:fontRef>
    <cs:spPr>
      <a:pattFill prst="ltDnDiag">
        <a:fgClr>
          <a:schemeClr val="dk1">
            <a:lumMod val="15000"/>
            <a:lumOff val="85000"/>
          </a:schemeClr>
        </a:fgClr>
        <a:bgClr>
          <a:schemeClr val="lt1"/>
        </a:bgClr>
      </a:pattFill>
    </cs:spPr>
  </cs:floor>
  <cs:gridlineMajor>
    <cs:lnRef idx="0"/>
    <cs:fillRef idx="0"/>
    <cs:effectRef idx="0"/>
    <cs:fontRef idx="minor">
      <a:schemeClr val="dk1"/>
    </cs:fontRef>
    <cs:spPr>
      <a:ln w="9525" cap="flat" cmpd="sng" algn="ctr">
        <a:solidFill>
          <a:schemeClr val="dk1">
            <a:lumMod val="15000"/>
            <a:lumOff val="85000"/>
            <a:alpha val="54000"/>
          </a:schemeClr>
        </a:solidFill>
        <a:round/>
      </a:ln>
    </cs:spPr>
  </cs:gridlineMajor>
  <cs:gridlineMinor>
    <cs:lnRef idx="0"/>
    <cs:fillRef idx="0"/>
    <cs:effectRef idx="0"/>
    <cs:fontRef idx="minor">
      <a:schemeClr val="dk1"/>
    </cs:fontRef>
    <cs:spPr>
      <a:ln w="9525" cap="flat" cmpd="sng" algn="ctr">
        <a:solidFill>
          <a:schemeClr val="dk1">
            <a:lumMod val="15000"/>
            <a:lumOff val="85000"/>
            <a:alpha val="51000"/>
          </a:schemeClr>
        </a:solidFill>
        <a:round/>
      </a:ln>
    </cs:spPr>
  </cs:gridlineMinor>
  <cs:hiLoLine>
    <cs:lnRef idx="0"/>
    <cs:fillRef idx="0"/>
    <cs:effectRef idx="0"/>
    <cs:fontRef idx="minor">
      <a:schemeClr val="dk1"/>
    </cs:fontRef>
    <cs:spPr>
      <a:ln w="9525" cap="flat" cmpd="sng" algn="ctr">
        <a:solidFill>
          <a:schemeClr val="dk1">
            <a:lumMod val="35000"/>
            <a:lumOff val="65000"/>
          </a:schemeClr>
        </a:solidFill>
        <a:round/>
      </a:ln>
    </cs:spPr>
  </cs:hiLoLine>
  <cs:leaderLine>
    <cs:lnRef idx="0"/>
    <cs:fillRef idx="0"/>
    <cs:effectRef idx="0"/>
    <cs:fontRef idx="minor">
      <a:schemeClr val="dk1"/>
    </cs:fontRef>
    <cs:spPr>
      <a:ln w="9525" cap="flat" cmpd="sng" algn="ctr">
        <a:solidFill>
          <a:schemeClr val="dk1">
            <a:lumMod val="35000"/>
            <a:lumOff val="65000"/>
          </a:schemeClr>
        </a:solidFill>
        <a:round/>
      </a:ln>
    </cs:spPr>
  </cs:leaderLine>
  <cs:legend>
    <cs:lnRef idx="0"/>
    <cs:fillRef idx="0"/>
    <cs:effectRef idx="0"/>
    <cs:fontRef idx="minor">
      <a:schemeClr val="dk1">
        <a:lumMod val="65000"/>
        <a:lumOff val="35000"/>
      </a:schemeClr>
    </cs:fontRef>
    <cs:defRPr sz="900" kern="1200"/>
  </cs:legend>
  <cs:plotArea>
    <cs:lnRef idx="0"/>
    <cs:fillRef idx="0"/>
    <cs:effectRef idx="0"/>
    <cs:fontRef idx="minor">
      <a:schemeClr val="dk1"/>
    </cs:fontRef>
    <cs:spPr>
      <a:pattFill prst="ltDnDiag">
        <a:fgClr>
          <a:schemeClr val="dk1">
            <a:lumMod val="15000"/>
            <a:lumOff val="85000"/>
          </a:schemeClr>
        </a:fgClr>
        <a:bgClr>
          <a:schemeClr val="lt1"/>
        </a:bgClr>
      </a:pattFill>
    </cs:spPr>
  </cs:plotArea>
  <cs:plotArea3D>
    <cs:lnRef idx="0"/>
    <cs:fillRef idx="0"/>
    <cs:effectRef idx="0"/>
    <cs:fontRef idx="minor">
      <a:schemeClr val="dk1"/>
    </cs:fontRef>
    <cs:spPr>
      <a:solidFill>
        <a:schemeClr val="lt1"/>
      </a:solidFill>
    </cs:spPr>
  </cs:plotArea3D>
  <cs:seriesAxis>
    <cs:lnRef idx="0"/>
    <cs:fillRef idx="0"/>
    <cs:effectRef idx="0"/>
    <cs:fontRef idx="minor">
      <a:schemeClr val="dk1">
        <a:lumMod val="65000"/>
        <a:lumOff val="35000"/>
      </a:schemeClr>
    </cs:fontRef>
    <cs:defRPr sz="900" kern="1200"/>
  </cs:seriesAxis>
  <cs:seriesLine>
    <cs:lnRef idx="0"/>
    <cs:fillRef idx="0"/>
    <cs:effectRef idx="0"/>
    <cs:fontRef idx="minor">
      <a:schemeClr val="dk1"/>
    </cs:fontRef>
    <cs:spPr>
      <a:ln w="9525" cap="flat" cmpd="sng" algn="ctr">
        <a:solidFill>
          <a:schemeClr val="dk1">
            <a:lumMod val="35000"/>
            <a:lumOff val="65000"/>
          </a:schemeClr>
        </a:solidFill>
        <a:round/>
      </a:ln>
    </cs:spPr>
  </cs:seriesLine>
  <cs:title>
    <cs:lnRef idx="0"/>
    <cs:fillRef idx="0"/>
    <cs:effectRef idx="0"/>
    <cs:fontRef idx="major">
      <a:schemeClr val="dk1">
        <a:lumMod val="50000"/>
        <a:lumOff val="50000"/>
      </a:schemeClr>
    </cs:fontRef>
    <cs:defRPr sz="1600" b="1" kern="1200" cap="none" spc="0" normalizeH="0" baseline="0"/>
  </cs:title>
  <cs:trendline>
    <cs:lnRef idx="0">
      <cs:styleClr val="auto"/>
    </cs:lnRef>
    <cs:fillRef idx="0"/>
    <cs:effectRef idx="0"/>
    <cs:fontRef idx="minor">
      <a:schemeClr val="dk1"/>
    </cs:fontRef>
    <cs:spPr>
      <a:ln w="19050" cap="rnd">
        <a:solidFill>
          <a:schemeClr val="phClr"/>
        </a:solidFill>
      </a:ln>
    </cs:spPr>
  </cs:trendline>
  <cs:trendlineLabel>
    <cs:lnRef idx="0"/>
    <cs:fillRef idx="0"/>
    <cs:effectRef idx="0"/>
    <cs:fontRef idx="minor">
      <a:schemeClr val="dk1">
        <a:lumMod val="65000"/>
        <a:lumOff val="35000"/>
      </a:schemeClr>
    </cs:fontRef>
    <cs:defRPr sz="900" kern="1200"/>
  </cs:trendlineLabel>
  <cs:upBar>
    <cs:lnRef idx="0"/>
    <cs:fillRef idx="0"/>
    <cs:effectRef idx="0"/>
    <cs:fontRef idx="minor">
      <a:schemeClr val="dk1"/>
    </cs:fontRef>
    <cs:spPr>
      <a:solidFill>
        <a:schemeClr val="lt1"/>
      </a:solidFill>
      <a:ln w="9525" cap="flat" cmpd="sng" algn="ctr">
        <a:solidFill>
          <a:schemeClr val="dk1">
            <a:lumMod val="50000"/>
            <a:lumOff val="50000"/>
          </a:schemeClr>
        </a:solidFill>
        <a:round/>
      </a:ln>
    </cs:spPr>
  </cs:upBar>
  <cs:valueAxis>
    <cs:lnRef idx="0"/>
    <cs:fillRef idx="0"/>
    <cs:effectRef idx="0"/>
    <cs:fontRef idx="minor">
      <a:schemeClr val="dk1">
        <a:lumMod val="65000"/>
        <a:lumOff val="35000"/>
      </a:schemeClr>
    </cs:fontRef>
    <cs:defRPr sz="900" kern="1200"/>
  </cs:valueAxis>
  <cs:wall>
    <cs:lnRef idx="0"/>
    <cs:fillRef idx="0"/>
    <cs:effectRef idx="0"/>
    <cs:fontRef idx="minor">
      <a:schemeClr val="dk1"/>
    </cs:fontRef>
    <cs:spPr>
      <a:pattFill prst="ltDnDiag">
        <a:fgClr>
          <a:schemeClr val="dk1">
            <a:lumMod val="15000"/>
            <a:lumOff val="85000"/>
          </a:schemeClr>
        </a:fgClr>
        <a:bgClr>
          <a:schemeClr val="lt1"/>
        </a:bgClr>
      </a:pattFill>
    </cs:spPr>
  </cs:wall>
</cs:chartStyle>
</file>

<file path=xl/charts/style10.xml><?xml version="1.0" encoding="utf-8"?>
<cs:chartStyle xmlns:cs="http://schemas.microsoft.com/office/drawing/2012/chartStyle" xmlns:a="http://schemas.openxmlformats.org/drawingml/2006/main" id="208">
  <cs:axisTitle>
    <cs:lnRef idx="0"/>
    <cs:fillRef idx="0"/>
    <cs:effectRef idx="0"/>
    <cs:fontRef idx="minor">
      <a:schemeClr val="dk1">
        <a:lumMod val="65000"/>
        <a:lumOff val="35000"/>
      </a:schemeClr>
    </cs:fontRef>
    <cs:defRPr sz="900" b="1" kern="1200"/>
  </cs:axisTitle>
  <cs:categoryAxis>
    <cs:lnRef idx="0"/>
    <cs:fillRef idx="0"/>
    <cs:effectRef idx="0"/>
    <cs:fontRef idx="minor">
      <a:schemeClr val="dk1">
        <a:lumMod val="65000"/>
        <a:lumOff val="35000"/>
      </a:schemeClr>
    </cs:fontRef>
    <cs:spPr>
      <a:ln w="9525" cap="flat" cmpd="sng" algn="ctr">
        <a:solidFill>
          <a:schemeClr val="dk1">
            <a:lumMod val="15000"/>
            <a:lumOff val="85000"/>
          </a:schemeClr>
        </a:solidFill>
        <a:round/>
      </a:ln>
    </cs:spPr>
    <cs:defRPr sz="900" kern="1200" cap="none" spc="0" normalizeH="0" baseline="0"/>
  </cs:categoryAxis>
  <cs:chartArea>
    <cs:lnRef idx="0"/>
    <cs:fillRef idx="0"/>
    <cs:effectRef idx="0"/>
    <cs:fontRef idx="minor">
      <a:schemeClr val="dk1"/>
    </cs:fontRef>
    <cs:spPr>
      <a:solidFill>
        <a:schemeClr val="lt1"/>
      </a:solidFill>
      <a:ln w="9525" cap="flat" cmpd="sng" algn="ctr">
        <a:solidFill>
          <a:schemeClr val="dk1">
            <a:lumMod val="15000"/>
            <a:lumOff val="85000"/>
          </a:schemeClr>
        </a:solidFill>
        <a:round/>
      </a:ln>
    </cs:spPr>
    <cs:defRPr sz="900" kern="1200"/>
  </cs:chartArea>
  <cs:dataLabel>
    <cs:lnRef idx="0"/>
    <cs:fillRef idx="0"/>
    <cs:effectRef idx="0"/>
    <cs:fontRef idx="minor">
      <a:schemeClr val="dk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0">
      <cs:styleClr val="auto"/>
    </cs:fillRef>
    <cs:effectRef idx="0"/>
    <cs:fontRef idx="minor">
      <a:schemeClr val="dk1"/>
    </cs:fontRef>
    <cs:spPr>
      <a:solidFill>
        <a:schemeClr val="phClr"/>
      </a:solidFill>
    </cs:spPr>
  </cs:dataPoint>
  <cs:dataPoint3D>
    <cs:lnRef idx="0"/>
    <cs:fillRef idx="0">
      <cs:styleClr val="auto"/>
    </cs:fillRef>
    <cs:effectRef idx="0"/>
    <cs:fontRef idx="minor">
      <a:schemeClr val="dk1"/>
    </cs:fontRef>
    <cs:spPr>
      <a:solidFill>
        <a:schemeClr val="phClr"/>
      </a:solidFill>
    </cs:spPr>
  </cs:dataPoint3D>
  <cs:dataPointLine>
    <cs:lnRef idx="0">
      <cs:styleClr val="auto"/>
    </cs:lnRef>
    <cs:fillRef idx="0"/>
    <cs:effectRef idx="0"/>
    <cs:fontRef idx="minor">
      <a:schemeClr val="dk1"/>
    </cs:fontRef>
    <cs:spPr>
      <a:ln w="22225" cap="rnd">
        <a:solidFill>
          <a:schemeClr val="phClr"/>
        </a:solidFill>
        <a:round/>
      </a:ln>
    </cs:spPr>
  </cs:dataPointLine>
  <cs:dataPointMarker>
    <cs:lnRef idx="0">
      <cs:styleClr val="auto"/>
    </cs:lnRef>
    <cs:fillRef idx="0">
      <cs:styleClr val="auto"/>
    </cs:fillRef>
    <cs:effectRef idx="0"/>
    <cs:fontRef idx="minor">
      <a:schemeClr val="dk1"/>
    </cs:fontRef>
    <cs:spPr>
      <a:solidFill>
        <a:schemeClr val="lt1"/>
      </a:solidFill>
      <a:ln w="15875">
        <a:solidFill>
          <a:schemeClr val="phClr"/>
        </a:solidFill>
        <a:round/>
      </a:ln>
    </cs:spPr>
  </cs:dataPointMarker>
  <cs:dataPointMarkerLayout symbol="circle" size="6"/>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dk1">
        <a:lumMod val="65000"/>
        <a:lumOff val="35000"/>
      </a:schemeClr>
    </cs:fontRef>
    <cs:spPr>
      <a:ln w="9525" cap="flat" cmpd="sng" algn="ctr">
        <a:solidFill>
          <a:schemeClr val="dk1">
            <a:lumMod val="15000"/>
            <a:lumOff val="85000"/>
          </a:schemeClr>
        </a:solidFill>
        <a:round/>
      </a:ln>
    </cs:spPr>
    <cs:defRPr sz="800" kern="1200"/>
  </cs:dataTable>
  <cs:downBar>
    <cs:lnRef idx="0"/>
    <cs:fillRef idx="0"/>
    <cs:effectRef idx="0"/>
    <cs:fontRef idx="minor">
      <a:schemeClr val="dk1"/>
    </cs:fontRef>
    <cs:spPr>
      <a:solidFill>
        <a:schemeClr val="dk1">
          <a:lumMod val="75000"/>
          <a:lumOff val="25000"/>
        </a:schemeClr>
      </a:solidFill>
      <a:ln w="9525" cap="flat" cmpd="sng" algn="ctr">
        <a:solidFill>
          <a:schemeClr val="dk1">
            <a:lumMod val="50000"/>
            <a:lumOff val="50000"/>
          </a:schemeClr>
        </a:solidFill>
        <a:round/>
      </a:ln>
    </cs:spPr>
  </cs:downBar>
  <cs:dropLine>
    <cs:lnRef idx="0"/>
    <cs:fillRef idx="0"/>
    <cs:effectRef idx="0"/>
    <cs:fontRef idx="minor">
      <a:schemeClr val="dk1"/>
    </cs:fontRef>
    <cs:spPr>
      <a:ln w="9525" cap="flat" cmpd="sng" algn="ctr">
        <a:solidFill>
          <a:schemeClr val="dk1">
            <a:lumMod val="35000"/>
            <a:lumOff val="65000"/>
          </a:schemeClr>
        </a:solidFill>
        <a:round/>
      </a:ln>
    </cs:spPr>
  </cs:dropLine>
  <cs:errorBar>
    <cs:lnRef idx="0"/>
    <cs:fillRef idx="0"/>
    <cs:effectRef idx="0"/>
    <cs:fontRef idx="minor">
      <a:schemeClr val="dk1"/>
    </cs:fontRef>
    <cs:spPr>
      <a:ln w="9525" cap="flat" cmpd="sng" algn="ctr">
        <a:solidFill>
          <a:schemeClr val="dk1">
            <a:lumMod val="50000"/>
            <a:lumOff val="50000"/>
          </a:schemeClr>
        </a:solidFill>
        <a:round/>
      </a:ln>
    </cs:spPr>
  </cs:errorBar>
  <cs:floor>
    <cs:lnRef idx="0"/>
    <cs:fillRef idx="0"/>
    <cs:effectRef idx="0"/>
    <cs:fontRef idx="minor">
      <a:schemeClr val="dk1"/>
    </cs:fontRef>
    <cs:spPr>
      <a:pattFill prst="ltDnDiag">
        <a:fgClr>
          <a:schemeClr val="dk1">
            <a:lumMod val="15000"/>
            <a:lumOff val="85000"/>
          </a:schemeClr>
        </a:fgClr>
        <a:bgClr>
          <a:schemeClr val="lt1"/>
        </a:bgClr>
      </a:pattFill>
    </cs:spPr>
  </cs:floor>
  <cs:gridlineMajor>
    <cs:lnRef idx="0"/>
    <cs:fillRef idx="0"/>
    <cs:effectRef idx="0"/>
    <cs:fontRef idx="minor">
      <a:schemeClr val="dk1"/>
    </cs:fontRef>
    <cs:spPr>
      <a:ln w="9525" cap="flat" cmpd="sng" algn="ctr">
        <a:solidFill>
          <a:schemeClr val="dk1">
            <a:lumMod val="15000"/>
            <a:lumOff val="85000"/>
          </a:schemeClr>
        </a:solidFill>
        <a:round/>
      </a:ln>
    </cs:spPr>
  </cs:gridlineMajor>
  <cs:gridlineMinor>
    <cs:lnRef idx="0"/>
    <cs:fillRef idx="0"/>
    <cs:effectRef idx="0"/>
    <cs:fontRef idx="minor">
      <a:schemeClr val="dk1"/>
    </cs:fontRef>
    <cs:spPr>
      <a:ln w="9525" cap="flat" cmpd="sng" algn="ctr">
        <a:solidFill>
          <a:schemeClr val="dk1">
            <a:lumMod val="5000"/>
            <a:lumOff val="95000"/>
          </a:schemeClr>
        </a:solidFill>
        <a:round/>
      </a:ln>
    </cs:spPr>
  </cs:gridlineMinor>
  <cs:hiLoLine>
    <cs:lnRef idx="0"/>
    <cs:fillRef idx="0"/>
    <cs:effectRef idx="0"/>
    <cs:fontRef idx="minor">
      <a:schemeClr val="dk1"/>
    </cs:fontRef>
    <cs:spPr>
      <a:ln w="9525" cap="flat" cmpd="sng" algn="ctr">
        <a:solidFill>
          <a:schemeClr val="dk1">
            <a:lumMod val="35000"/>
            <a:lumOff val="65000"/>
          </a:schemeClr>
        </a:solidFill>
        <a:round/>
      </a:ln>
    </cs:spPr>
  </cs:hiLoLine>
  <cs:leaderLine>
    <cs:lnRef idx="0"/>
    <cs:fillRef idx="0"/>
    <cs:effectRef idx="0"/>
    <cs:fontRef idx="minor">
      <a:schemeClr val="dk1"/>
    </cs:fontRef>
    <cs:spPr>
      <a:ln w="9525" cap="flat" cmpd="sng" algn="ctr">
        <a:solidFill>
          <a:schemeClr val="dk1">
            <a:lumMod val="35000"/>
            <a:lumOff val="65000"/>
          </a:schemeClr>
        </a:solidFill>
        <a:round/>
      </a:ln>
    </cs:spPr>
  </cs:leaderLine>
  <cs:legend>
    <cs:lnRef idx="0"/>
    <cs:fillRef idx="0"/>
    <cs:effectRef idx="0"/>
    <cs:fontRef idx="minor">
      <a:schemeClr val="dk1">
        <a:lumMod val="65000"/>
        <a:lumOff val="35000"/>
      </a:schemeClr>
    </cs:fontRef>
    <cs:defRPr sz="900" kern="1200"/>
  </cs:legend>
  <cs:plotArea>
    <cs:lnRef idx="0"/>
    <cs:fillRef idx="0"/>
    <cs:effectRef idx="0"/>
    <cs:fontRef idx="minor">
      <a:schemeClr val="dk1"/>
    </cs:fontRef>
    <cs:spPr>
      <a:pattFill prst="ltDnDiag">
        <a:fgClr>
          <a:schemeClr val="dk1">
            <a:lumMod val="15000"/>
            <a:lumOff val="85000"/>
          </a:schemeClr>
        </a:fgClr>
        <a:bgClr>
          <a:schemeClr val="lt1"/>
        </a:bgClr>
      </a:pattFill>
    </cs:spPr>
  </cs:plotArea>
  <cs:plotArea3D>
    <cs:lnRef idx="0"/>
    <cs:fillRef idx="0"/>
    <cs:effectRef idx="0"/>
    <cs:fontRef idx="minor">
      <a:schemeClr val="dk1"/>
    </cs:fontRef>
    <cs:spPr>
      <a:solidFill>
        <a:schemeClr val="lt1"/>
      </a:solidFill>
    </cs:spPr>
  </cs:plotArea3D>
  <cs:seriesAxis>
    <cs:lnRef idx="0"/>
    <cs:fillRef idx="0"/>
    <cs:effectRef idx="0"/>
    <cs:fontRef idx="minor">
      <a:schemeClr val="dk1">
        <a:lumMod val="65000"/>
        <a:lumOff val="35000"/>
      </a:schemeClr>
    </cs:fontRef>
    <cs:defRPr sz="900" kern="1200"/>
  </cs:seriesAxis>
  <cs:seriesLine>
    <cs:lnRef idx="0"/>
    <cs:fillRef idx="0"/>
    <cs:effectRef idx="0"/>
    <cs:fontRef idx="minor">
      <a:schemeClr val="dk1"/>
    </cs:fontRef>
    <cs:spPr>
      <a:ln w="9525" cap="flat" cmpd="sng" algn="ctr">
        <a:solidFill>
          <a:schemeClr val="dk1">
            <a:lumMod val="35000"/>
            <a:lumOff val="65000"/>
          </a:schemeClr>
        </a:solidFill>
        <a:round/>
      </a:ln>
    </cs:spPr>
  </cs:seriesLine>
  <cs:title>
    <cs:lnRef idx="0"/>
    <cs:fillRef idx="0"/>
    <cs:effectRef idx="0"/>
    <cs:fontRef idx="major">
      <a:schemeClr val="dk1">
        <a:lumMod val="50000"/>
        <a:lumOff val="50000"/>
      </a:schemeClr>
    </cs:fontRef>
    <cs:defRPr sz="1600" b="1" kern="1200" cap="none" spc="0" normalizeH="0" baseline="0"/>
  </cs:title>
  <cs:trendline>
    <cs:lnRef idx="0">
      <cs:styleClr val="auto"/>
    </cs:lnRef>
    <cs:fillRef idx="0"/>
    <cs:effectRef idx="0"/>
    <cs:fontRef idx="minor">
      <a:schemeClr val="dk1"/>
    </cs:fontRef>
    <cs:spPr>
      <a:ln w="19050" cap="rnd">
        <a:solidFill>
          <a:schemeClr val="phClr"/>
        </a:solidFill>
      </a:ln>
    </cs:spPr>
  </cs:trendline>
  <cs:trendlineLabel>
    <cs:lnRef idx="0"/>
    <cs:fillRef idx="0"/>
    <cs:effectRef idx="0"/>
    <cs:fontRef idx="minor">
      <a:schemeClr val="dk1">
        <a:lumMod val="65000"/>
        <a:lumOff val="35000"/>
      </a:schemeClr>
    </cs:fontRef>
    <cs:defRPr sz="900" kern="1200"/>
  </cs:trendlineLabel>
  <cs:upBar>
    <cs:lnRef idx="0"/>
    <cs:fillRef idx="0"/>
    <cs:effectRef idx="0"/>
    <cs:fontRef idx="minor">
      <a:schemeClr val="dk1"/>
    </cs:fontRef>
    <cs:spPr>
      <a:solidFill>
        <a:schemeClr val="lt1"/>
      </a:solidFill>
      <a:ln w="9525" cap="flat" cmpd="sng" algn="ctr">
        <a:solidFill>
          <a:schemeClr val="dk1">
            <a:lumMod val="50000"/>
            <a:lumOff val="50000"/>
          </a:schemeClr>
        </a:solidFill>
        <a:round/>
      </a:ln>
    </cs:spPr>
  </cs:upBar>
  <cs:valueAxis>
    <cs:lnRef idx="0"/>
    <cs:fillRef idx="0"/>
    <cs:effectRef idx="0"/>
    <cs:fontRef idx="minor">
      <a:schemeClr val="dk1">
        <a:lumMod val="65000"/>
        <a:lumOff val="35000"/>
      </a:schemeClr>
    </cs:fontRef>
    <cs:defRPr sz="900" kern="1200"/>
  </cs:valueAxis>
  <cs:wall>
    <cs:lnRef idx="0"/>
    <cs:fillRef idx="0"/>
    <cs:effectRef idx="0"/>
    <cs:fontRef idx="minor">
      <a:schemeClr val="dk1"/>
    </cs:fontRef>
    <cs:spPr>
      <a:pattFill prst="ltDnDiag">
        <a:fgClr>
          <a:schemeClr val="dk1">
            <a:lumMod val="15000"/>
            <a:lumOff val="85000"/>
          </a:schemeClr>
        </a:fgClr>
        <a:bgClr>
          <a:schemeClr val="lt1"/>
        </a:bgClr>
      </a:pattFill>
    </cs:spPr>
  </cs:wall>
</cs:chartStyle>
</file>

<file path=xl/charts/style11.xml><?xml version="1.0" encoding="utf-8"?>
<cs:chartStyle xmlns:cs="http://schemas.microsoft.com/office/drawing/2012/chartStyle" xmlns:a="http://schemas.openxmlformats.org/drawingml/2006/main" id="221">
  <cs:axisTitle>
    <cs:lnRef idx="0"/>
    <cs:fillRef idx="0"/>
    <cs:effectRef idx="0"/>
    <cs:fontRef idx="minor">
      <a:schemeClr val="dk1">
        <a:lumMod val="65000"/>
        <a:lumOff val="35000"/>
      </a:schemeClr>
    </cs:fontRef>
    <cs:defRPr sz="900" b="1" kern="1200"/>
  </cs:axisTitle>
  <cs:categoryAxis>
    <cs:lnRef idx="0"/>
    <cs:fillRef idx="0"/>
    <cs:effectRef idx="0"/>
    <cs:fontRef idx="minor">
      <a:schemeClr val="dk1">
        <a:lumMod val="65000"/>
        <a:lumOff val="35000"/>
      </a:schemeClr>
    </cs:fontRef>
    <cs:spPr>
      <a:ln w="9525" cap="flat" cmpd="sng" algn="ctr">
        <a:solidFill>
          <a:schemeClr val="dk1">
            <a:lumMod val="15000"/>
            <a:lumOff val="85000"/>
          </a:schemeClr>
        </a:solidFill>
        <a:round/>
      </a:ln>
    </cs:spPr>
    <cs:defRPr sz="900" kern="1200" cap="none" spc="0" normalizeH="0" baseline="0"/>
  </cs:categoryAxis>
  <cs:chartArea>
    <cs:lnRef idx="0"/>
    <cs:fillRef idx="0"/>
    <cs:effectRef idx="0"/>
    <cs:fontRef idx="minor">
      <a:schemeClr val="dk1"/>
    </cs:fontRef>
    <cs:spPr>
      <a:solidFill>
        <a:schemeClr val="lt1"/>
      </a:solidFill>
      <a:ln w="9525" cap="flat" cmpd="sng" algn="ctr">
        <a:solidFill>
          <a:schemeClr val="dk1">
            <a:lumMod val="15000"/>
            <a:lumOff val="85000"/>
          </a:schemeClr>
        </a:solidFill>
        <a:round/>
      </a:ln>
    </cs:spPr>
    <cs:defRPr sz="900" kern="1200"/>
  </cs:chartArea>
  <cs:dataLabel>
    <cs:lnRef idx="0"/>
    <cs:fillRef idx="0"/>
    <cs:effectRef idx="0"/>
    <cs:fontRef idx="minor">
      <a:schemeClr val="dk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0">
      <cs:styleClr val="auto"/>
    </cs:fillRef>
    <cs:effectRef idx="0"/>
    <cs:fontRef idx="minor">
      <a:schemeClr val="dk1"/>
    </cs:fontRef>
    <cs:spPr>
      <a:solidFill>
        <a:schemeClr val="phClr"/>
      </a:solidFill>
    </cs:spPr>
  </cs:dataPoint>
  <cs:dataPoint3D>
    <cs:lnRef idx="0"/>
    <cs:fillRef idx="0">
      <cs:styleClr val="auto"/>
    </cs:fillRef>
    <cs:effectRef idx="0"/>
    <cs:fontRef idx="minor">
      <a:schemeClr val="dk1"/>
    </cs:fontRef>
    <cs:spPr>
      <a:solidFill>
        <a:schemeClr val="phClr"/>
      </a:solidFill>
    </cs:spPr>
  </cs:dataPoint3D>
  <cs:dataPointLine>
    <cs:lnRef idx="0">
      <cs:styleClr val="auto"/>
    </cs:lnRef>
    <cs:fillRef idx="0"/>
    <cs:effectRef idx="0"/>
    <cs:fontRef idx="minor">
      <a:schemeClr val="dk1"/>
    </cs:fontRef>
    <cs:spPr>
      <a:ln w="22225" cap="rnd">
        <a:solidFill>
          <a:schemeClr val="phClr"/>
        </a:solidFill>
        <a:round/>
      </a:ln>
    </cs:spPr>
  </cs:dataPointLine>
  <cs:dataPointMarker>
    <cs:lnRef idx="0">
      <cs:styleClr val="auto"/>
    </cs:lnRef>
    <cs:fillRef idx="0">
      <cs:styleClr val="auto"/>
    </cs:fillRef>
    <cs:effectRef idx="0"/>
    <cs:fontRef idx="minor">
      <a:schemeClr val="dk1"/>
    </cs:fontRef>
    <cs:spPr>
      <a:solidFill>
        <a:schemeClr val="lt1"/>
      </a:solidFill>
      <a:ln w="15875">
        <a:solidFill>
          <a:schemeClr val="phClr"/>
        </a:solidFill>
        <a:round/>
      </a:ln>
    </cs:spPr>
  </cs:dataPointMarker>
  <cs:dataPointMarkerLayout symbol="circle" size="6"/>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dk1">
        <a:lumMod val="65000"/>
        <a:lumOff val="35000"/>
      </a:schemeClr>
    </cs:fontRef>
    <cs:spPr>
      <a:ln w="9525" cap="flat" cmpd="sng" algn="ctr">
        <a:solidFill>
          <a:schemeClr val="dk1">
            <a:lumMod val="15000"/>
            <a:lumOff val="85000"/>
          </a:schemeClr>
        </a:solidFill>
        <a:round/>
      </a:ln>
    </cs:spPr>
    <cs:defRPr sz="800" kern="1200"/>
  </cs:dataTable>
  <cs:downBar>
    <cs:lnRef idx="0"/>
    <cs:fillRef idx="0"/>
    <cs:effectRef idx="0"/>
    <cs:fontRef idx="minor">
      <a:schemeClr val="dk1"/>
    </cs:fontRef>
    <cs:spPr>
      <a:solidFill>
        <a:schemeClr val="dk1">
          <a:lumMod val="75000"/>
          <a:lumOff val="25000"/>
        </a:schemeClr>
      </a:solidFill>
      <a:ln w="9525" cap="flat" cmpd="sng" algn="ctr">
        <a:solidFill>
          <a:schemeClr val="dk1">
            <a:lumMod val="50000"/>
            <a:lumOff val="50000"/>
          </a:schemeClr>
        </a:solidFill>
        <a:round/>
      </a:ln>
    </cs:spPr>
  </cs:downBar>
  <cs:dropLine>
    <cs:lnRef idx="0"/>
    <cs:fillRef idx="0"/>
    <cs:effectRef idx="0"/>
    <cs:fontRef idx="minor">
      <a:schemeClr val="dk1"/>
    </cs:fontRef>
    <cs:spPr>
      <a:ln w="9525" cap="flat" cmpd="sng" algn="ctr">
        <a:solidFill>
          <a:schemeClr val="dk1">
            <a:lumMod val="35000"/>
            <a:lumOff val="65000"/>
          </a:schemeClr>
        </a:solidFill>
        <a:round/>
      </a:ln>
    </cs:spPr>
  </cs:dropLine>
  <cs:errorBar>
    <cs:lnRef idx="0"/>
    <cs:fillRef idx="0"/>
    <cs:effectRef idx="0"/>
    <cs:fontRef idx="minor">
      <a:schemeClr val="dk1"/>
    </cs:fontRef>
    <cs:spPr>
      <a:ln w="9525" cap="flat" cmpd="sng" algn="ctr">
        <a:solidFill>
          <a:schemeClr val="dk1">
            <a:lumMod val="50000"/>
            <a:lumOff val="50000"/>
          </a:schemeClr>
        </a:solidFill>
        <a:round/>
      </a:ln>
    </cs:spPr>
  </cs:errorBar>
  <cs:floor>
    <cs:lnRef idx="0"/>
    <cs:fillRef idx="0"/>
    <cs:effectRef idx="0"/>
    <cs:fontRef idx="minor">
      <a:schemeClr val="dk1"/>
    </cs:fontRef>
    <cs:spPr>
      <a:pattFill prst="ltDnDiag">
        <a:fgClr>
          <a:schemeClr val="dk1">
            <a:lumMod val="15000"/>
            <a:lumOff val="85000"/>
          </a:schemeClr>
        </a:fgClr>
        <a:bgClr>
          <a:schemeClr val="lt1"/>
        </a:bgClr>
      </a:pattFill>
    </cs:spPr>
  </cs:floor>
  <cs:gridlineMajor>
    <cs:lnRef idx="0"/>
    <cs:fillRef idx="0"/>
    <cs:effectRef idx="0"/>
    <cs:fontRef idx="minor">
      <a:schemeClr val="dk1"/>
    </cs:fontRef>
    <cs:spPr>
      <a:ln w="9525" cap="flat" cmpd="sng" algn="ctr">
        <a:solidFill>
          <a:schemeClr val="dk1">
            <a:lumMod val="15000"/>
            <a:lumOff val="85000"/>
          </a:schemeClr>
        </a:solidFill>
        <a:round/>
      </a:ln>
    </cs:spPr>
  </cs:gridlineMajor>
  <cs:gridlineMinor>
    <cs:lnRef idx="0"/>
    <cs:fillRef idx="0"/>
    <cs:effectRef idx="0"/>
    <cs:fontRef idx="minor">
      <a:schemeClr val="dk1"/>
    </cs:fontRef>
    <cs:spPr>
      <a:ln w="9525" cap="flat" cmpd="sng" algn="ctr">
        <a:solidFill>
          <a:schemeClr val="dk1">
            <a:lumMod val="5000"/>
            <a:lumOff val="95000"/>
          </a:schemeClr>
        </a:solidFill>
        <a:round/>
      </a:ln>
    </cs:spPr>
  </cs:gridlineMinor>
  <cs:hiLoLine>
    <cs:lnRef idx="0"/>
    <cs:fillRef idx="0"/>
    <cs:effectRef idx="0"/>
    <cs:fontRef idx="minor">
      <a:schemeClr val="dk1"/>
    </cs:fontRef>
    <cs:spPr>
      <a:ln w="9525" cap="flat" cmpd="sng" algn="ctr">
        <a:solidFill>
          <a:schemeClr val="dk1">
            <a:lumMod val="35000"/>
            <a:lumOff val="65000"/>
          </a:schemeClr>
        </a:solidFill>
        <a:round/>
      </a:ln>
    </cs:spPr>
  </cs:hiLoLine>
  <cs:leaderLine>
    <cs:lnRef idx="0"/>
    <cs:fillRef idx="0"/>
    <cs:effectRef idx="0"/>
    <cs:fontRef idx="minor">
      <a:schemeClr val="dk1"/>
    </cs:fontRef>
    <cs:spPr>
      <a:ln w="9525" cap="flat" cmpd="sng" algn="ctr">
        <a:solidFill>
          <a:schemeClr val="dk1">
            <a:lumMod val="35000"/>
            <a:lumOff val="65000"/>
          </a:schemeClr>
        </a:solidFill>
        <a:round/>
      </a:ln>
    </cs:spPr>
  </cs:leaderLine>
  <cs:legend>
    <cs:lnRef idx="0"/>
    <cs:fillRef idx="0"/>
    <cs:effectRef idx="0"/>
    <cs:fontRef idx="minor">
      <a:schemeClr val="dk1">
        <a:lumMod val="65000"/>
        <a:lumOff val="35000"/>
      </a:schemeClr>
    </cs:fontRef>
    <cs:defRPr sz="900" kern="1200"/>
  </cs:legend>
  <cs:plotArea>
    <cs:lnRef idx="0"/>
    <cs:fillRef idx="0"/>
    <cs:effectRef idx="0"/>
    <cs:fontRef idx="minor">
      <a:schemeClr val="dk1"/>
    </cs:fontRef>
    <cs:spPr>
      <a:pattFill prst="ltDnDiag">
        <a:fgClr>
          <a:schemeClr val="dk1">
            <a:lumMod val="15000"/>
            <a:lumOff val="85000"/>
          </a:schemeClr>
        </a:fgClr>
        <a:bgClr>
          <a:schemeClr val="lt1"/>
        </a:bgClr>
      </a:pattFill>
    </cs:spPr>
  </cs:plotArea>
  <cs:plotArea3D>
    <cs:lnRef idx="0"/>
    <cs:fillRef idx="0"/>
    <cs:effectRef idx="0"/>
    <cs:fontRef idx="minor">
      <a:schemeClr val="dk1"/>
    </cs:fontRef>
    <cs:spPr>
      <a:solidFill>
        <a:schemeClr val="lt1"/>
      </a:solidFill>
    </cs:spPr>
  </cs:plotArea3D>
  <cs:seriesAxis>
    <cs:lnRef idx="0"/>
    <cs:fillRef idx="0"/>
    <cs:effectRef idx="0"/>
    <cs:fontRef idx="minor">
      <a:schemeClr val="dk1">
        <a:lumMod val="65000"/>
        <a:lumOff val="35000"/>
      </a:schemeClr>
    </cs:fontRef>
    <cs:defRPr sz="900" kern="1200"/>
  </cs:seriesAxis>
  <cs:seriesLine>
    <cs:lnRef idx="0"/>
    <cs:fillRef idx="0"/>
    <cs:effectRef idx="0"/>
    <cs:fontRef idx="minor">
      <a:schemeClr val="dk1"/>
    </cs:fontRef>
    <cs:spPr>
      <a:ln w="9525" cap="flat" cmpd="sng" algn="ctr">
        <a:solidFill>
          <a:schemeClr val="dk1">
            <a:lumMod val="35000"/>
            <a:lumOff val="65000"/>
          </a:schemeClr>
        </a:solidFill>
        <a:round/>
      </a:ln>
    </cs:spPr>
  </cs:seriesLine>
  <cs:title>
    <cs:lnRef idx="0"/>
    <cs:fillRef idx="0"/>
    <cs:effectRef idx="0"/>
    <cs:fontRef idx="major">
      <a:schemeClr val="dk1">
        <a:lumMod val="50000"/>
        <a:lumOff val="50000"/>
      </a:schemeClr>
    </cs:fontRef>
    <cs:defRPr sz="1600" b="1" kern="1200" cap="none" spc="0" normalizeH="0" baseline="0"/>
  </cs:title>
  <cs:trendline>
    <cs:lnRef idx="0">
      <cs:styleClr val="auto"/>
    </cs:lnRef>
    <cs:fillRef idx="0"/>
    <cs:effectRef idx="0"/>
    <cs:fontRef idx="minor">
      <a:schemeClr val="dk1"/>
    </cs:fontRef>
    <cs:spPr>
      <a:ln w="19050" cap="rnd">
        <a:solidFill>
          <a:schemeClr val="phClr"/>
        </a:solidFill>
      </a:ln>
    </cs:spPr>
  </cs:trendline>
  <cs:trendlineLabel>
    <cs:lnRef idx="0"/>
    <cs:fillRef idx="0"/>
    <cs:effectRef idx="0"/>
    <cs:fontRef idx="minor">
      <a:schemeClr val="dk1">
        <a:lumMod val="65000"/>
        <a:lumOff val="35000"/>
      </a:schemeClr>
    </cs:fontRef>
    <cs:defRPr sz="900" kern="1200"/>
  </cs:trendlineLabel>
  <cs:upBar>
    <cs:lnRef idx="0"/>
    <cs:fillRef idx="0"/>
    <cs:effectRef idx="0"/>
    <cs:fontRef idx="minor">
      <a:schemeClr val="dk1"/>
    </cs:fontRef>
    <cs:spPr>
      <a:solidFill>
        <a:schemeClr val="lt1"/>
      </a:solidFill>
      <a:ln w="9525" cap="flat" cmpd="sng" algn="ctr">
        <a:solidFill>
          <a:schemeClr val="dk1">
            <a:lumMod val="50000"/>
            <a:lumOff val="50000"/>
          </a:schemeClr>
        </a:solidFill>
        <a:round/>
      </a:ln>
    </cs:spPr>
  </cs:upBar>
  <cs:valueAxis>
    <cs:lnRef idx="0"/>
    <cs:fillRef idx="0"/>
    <cs:effectRef idx="0"/>
    <cs:fontRef idx="minor">
      <a:schemeClr val="dk1">
        <a:lumMod val="65000"/>
        <a:lumOff val="35000"/>
      </a:schemeClr>
    </cs:fontRef>
    <cs:defRPr sz="900" kern="1200"/>
  </cs:valueAxis>
  <cs:wall>
    <cs:lnRef idx="0"/>
    <cs:fillRef idx="0"/>
    <cs:effectRef idx="0"/>
    <cs:fontRef idx="minor">
      <a:schemeClr val="dk1"/>
    </cs:fontRef>
    <cs:spPr>
      <a:pattFill prst="ltDnDiag">
        <a:fgClr>
          <a:schemeClr val="dk1">
            <a:lumMod val="15000"/>
            <a:lumOff val="85000"/>
          </a:schemeClr>
        </a:fgClr>
        <a:bgClr>
          <a:schemeClr val="lt1"/>
        </a:bgClr>
      </a:pattFill>
    </cs:spPr>
  </cs:wall>
</cs:chartStyle>
</file>

<file path=xl/charts/style12.xml><?xml version="1.0" encoding="utf-8"?>
<cs:chartStyle xmlns:cs="http://schemas.microsoft.com/office/drawing/2012/chartStyle" xmlns:a="http://schemas.openxmlformats.org/drawingml/2006/main" id="208">
  <cs:axisTitle>
    <cs:lnRef idx="0"/>
    <cs:fillRef idx="0"/>
    <cs:effectRef idx="0"/>
    <cs:fontRef idx="minor">
      <a:schemeClr val="dk1">
        <a:lumMod val="65000"/>
        <a:lumOff val="35000"/>
      </a:schemeClr>
    </cs:fontRef>
    <cs:defRPr sz="900" b="1" kern="1200"/>
  </cs:axisTitle>
  <cs:categoryAxis>
    <cs:lnRef idx="0"/>
    <cs:fillRef idx="0"/>
    <cs:effectRef idx="0"/>
    <cs:fontRef idx="minor">
      <a:schemeClr val="dk1">
        <a:lumMod val="65000"/>
        <a:lumOff val="35000"/>
      </a:schemeClr>
    </cs:fontRef>
    <cs:spPr>
      <a:ln w="9525" cap="flat" cmpd="sng" algn="ctr">
        <a:solidFill>
          <a:schemeClr val="dk1">
            <a:lumMod val="15000"/>
            <a:lumOff val="85000"/>
          </a:schemeClr>
        </a:solidFill>
        <a:round/>
      </a:ln>
    </cs:spPr>
    <cs:defRPr sz="900" kern="1200" cap="none" spc="0" normalizeH="0" baseline="0"/>
  </cs:categoryAxis>
  <cs:chartArea>
    <cs:lnRef idx="0"/>
    <cs:fillRef idx="0"/>
    <cs:effectRef idx="0"/>
    <cs:fontRef idx="minor">
      <a:schemeClr val="dk1"/>
    </cs:fontRef>
    <cs:spPr>
      <a:solidFill>
        <a:schemeClr val="lt1"/>
      </a:solidFill>
      <a:ln w="9525" cap="flat" cmpd="sng" algn="ctr">
        <a:solidFill>
          <a:schemeClr val="dk1">
            <a:lumMod val="15000"/>
            <a:lumOff val="85000"/>
          </a:schemeClr>
        </a:solidFill>
        <a:round/>
      </a:ln>
    </cs:spPr>
    <cs:defRPr sz="900" kern="1200"/>
  </cs:chartArea>
  <cs:dataLabel>
    <cs:lnRef idx="0"/>
    <cs:fillRef idx="0"/>
    <cs:effectRef idx="0"/>
    <cs:fontRef idx="minor">
      <a:schemeClr val="dk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0">
      <cs:styleClr val="auto"/>
    </cs:fillRef>
    <cs:effectRef idx="0"/>
    <cs:fontRef idx="minor">
      <a:schemeClr val="dk1"/>
    </cs:fontRef>
    <cs:spPr>
      <a:solidFill>
        <a:schemeClr val="phClr"/>
      </a:solidFill>
    </cs:spPr>
  </cs:dataPoint>
  <cs:dataPoint3D>
    <cs:lnRef idx="0"/>
    <cs:fillRef idx="0">
      <cs:styleClr val="auto"/>
    </cs:fillRef>
    <cs:effectRef idx="0"/>
    <cs:fontRef idx="minor">
      <a:schemeClr val="dk1"/>
    </cs:fontRef>
    <cs:spPr>
      <a:solidFill>
        <a:schemeClr val="phClr"/>
      </a:solidFill>
    </cs:spPr>
  </cs:dataPoint3D>
  <cs:dataPointLine>
    <cs:lnRef idx="0">
      <cs:styleClr val="auto"/>
    </cs:lnRef>
    <cs:fillRef idx="0"/>
    <cs:effectRef idx="0"/>
    <cs:fontRef idx="minor">
      <a:schemeClr val="dk1"/>
    </cs:fontRef>
    <cs:spPr>
      <a:ln w="22225" cap="rnd">
        <a:solidFill>
          <a:schemeClr val="phClr"/>
        </a:solidFill>
        <a:round/>
      </a:ln>
    </cs:spPr>
  </cs:dataPointLine>
  <cs:dataPointMarker>
    <cs:lnRef idx="0">
      <cs:styleClr val="auto"/>
    </cs:lnRef>
    <cs:fillRef idx="0">
      <cs:styleClr val="auto"/>
    </cs:fillRef>
    <cs:effectRef idx="0"/>
    <cs:fontRef idx="minor">
      <a:schemeClr val="dk1"/>
    </cs:fontRef>
    <cs:spPr>
      <a:solidFill>
        <a:schemeClr val="lt1"/>
      </a:solidFill>
      <a:ln w="15875">
        <a:solidFill>
          <a:schemeClr val="phClr"/>
        </a:solidFill>
        <a:round/>
      </a:ln>
    </cs:spPr>
  </cs:dataPointMarker>
  <cs:dataPointMarkerLayout symbol="circle" size="6"/>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dk1">
        <a:lumMod val="65000"/>
        <a:lumOff val="35000"/>
      </a:schemeClr>
    </cs:fontRef>
    <cs:spPr>
      <a:ln w="9525" cap="flat" cmpd="sng" algn="ctr">
        <a:solidFill>
          <a:schemeClr val="dk1">
            <a:lumMod val="15000"/>
            <a:lumOff val="85000"/>
          </a:schemeClr>
        </a:solidFill>
        <a:round/>
      </a:ln>
    </cs:spPr>
    <cs:defRPr sz="800" kern="1200"/>
  </cs:dataTable>
  <cs:downBar>
    <cs:lnRef idx="0"/>
    <cs:fillRef idx="0"/>
    <cs:effectRef idx="0"/>
    <cs:fontRef idx="minor">
      <a:schemeClr val="dk1"/>
    </cs:fontRef>
    <cs:spPr>
      <a:solidFill>
        <a:schemeClr val="dk1">
          <a:lumMod val="75000"/>
          <a:lumOff val="25000"/>
        </a:schemeClr>
      </a:solidFill>
      <a:ln w="9525" cap="flat" cmpd="sng" algn="ctr">
        <a:solidFill>
          <a:schemeClr val="dk1">
            <a:lumMod val="50000"/>
            <a:lumOff val="50000"/>
          </a:schemeClr>
        </a:solidFill>
        <a:round/>
      </a:ln>
    </cs:spPr>
  </cs:downBar>
  <cs:dropLine>
    <cs:lnRef idx="0"/>
    <cs:fillRef idx="0"/>
    <cs:effectRef idx="0"/>
    <cs:fontRef idx="minor">
      <a:schemeClr val="dk1"/>
    </cs:fontRef>
    <cs:spPr>
      <a:ln w="9525" cap="flat" cmpd="sng" algn="ctr">
        <a:solidFill>
          <a:schemeClr val="dk1">
            <a:lumMod val="35000"/>
            <a:lumOff val="65000"/>
          </a:schemeClr>
        </a:solidFill>
        <a:round/>
      </a:ln>
    </cs:spPr>
  </cs:dropLine>
  <cs:errorBar>
    <cs:lnRef idx="0"/>
    <cs:fillRef idx="0"/>
    <cs:effectRef idx="0"/>
    <cs:fontRef idx="minor">
      <a:schemeClr val="dk1"/>
    </cs:fontRef>
    <cs:spPr>
      <a:ln w="9525" cap="flat" cmpd="sng" algn="ctr">
        <a:solidFill>
          <a:schemeClr val="dk1">
            <a:lumMod val="50000"/>
            <a:lumOff val="50000"/>
          </a:schemeClr>
        </a:solidFill>
        <a:round/>
      </a:ln>
    </cs:spPr>
  </cs:errorBar>
  <cs:floor>
    <cs:lnRef idx="0"/>
    <cs:fillRef idx="0"/>
    <cs:effectRef idx="0"/>
    <cs:fontRef idx="minor">
      <a:schemeClr val="dk1"/>
    </cs:fontRef>
    <cs:spPr>
      <a:pattFill prst="ltDnDiag">
        <a:fgClr>
          <a:schemeClr val="dk1">
            <a:lumMod val="15000"/>
            <a:lumOff val="85000"/>
          </a:schemeClr>
        </a:fgClr>
        <a:bgClr>
          <a:schemeClr val="lt1"/>
        </a:bgClr>
      </a:pattFill>
    </cs:spPr>
  </cs:floor>
  <cs:gridlineMajor>
    <cs:lnRef idx="0"/>
    <cs:fillRef idx="0"/>
    <cs:effectRef idx="0"/>
    <cs:fontRef idx="minor">
      <a:schemeClr val="dk1"/>
    </cs:fontRef>
    <cs:spPr>
      <a:ln w="9525" cap="flat" cmpd="sng" algn="ctr">
        <a:solidFill>
          <a:schemeClr val="dk1">
            <a:lumMod val="15000"/>
            <a:lumOff val="85000"/>
          </a:schemeClr>
        </a:solidFill>
        <a:round/>
      </a:ln>
    </cs:spPr>
  </cs:gridlineMajor>
  <cs:gridlineMinor>
    <cs:lnRef idx="0"/>
    <cs:fillRef idx="0"/>
    <cs:effectRef idx="0"/>
    <cs:fontRef idx="minor">
      <a:schemeClr val="dk1"/>
    </cs:fontRef>
    <cs:spPr>
      <a:ln w="9525" cap="flat" cmpd="sng" algn="ctr">
        <a:solidFill>
          <a:schemeClr val="dk1">
            <a:lumMod val="5000"/>
            <a:lumOff val="95000"/>
          </a:schemeClr>
        </a:solidFill>
        <a:round/>
      </a:ln>
    </cs:spPr>
  </cs:gridlineMinor>
  <cs:hiLoLine>
    <cs:lnRef idx="0"/>
    <cs:fillRef idx="0"/>
    <cs:effectRef idx="0"/>
    <cs:fontRef idx="minor">
      <a:schemeClr val="dk1"/>
    </cs:fontRef>
    <cs:spPr>
      <a:ln w="9525" cap="flat" cmpd="sng" algn="ctr">
        <a:solidFill>
          <a:schemeClr val="dk1">
            <a:lumMod val="35000"/>
            <a:lumOff val="65000"/>
          </a:schemeClr>
        </a:solidFill>
        <a:round/>
      </a:ln>
    </cs:spPr>
  </cs:hiLoLine>
  <cs:leaderLine>
    <cs:lnRef idx="0"/>
    <cs:fillRef idx="0"/>
    <cs:effectRef idx="0"/>
    <cs:fontRef idx="minor">
      <a:schemeClr val="dk1"/>
    </cs:fontRef>
    <cs:spPr>
      <a:ln w="9525" cap="flat" cmpd="sng" algn="ctr">
        <a:solidFill>
          <a:schemeClr val="dk1">
            <a:lumMod val="35000"/>
            <a:lumOff val="65000"/>
          </a:schemeClr>
        </a:solidFill>
        <a:round/>
      </a:ln>
    </cs:spPr>
  </cs:leaderLine>
  <cs:legend>
    <cs:lnRef idx="0"/>
    <cs:fillRef idx="0"/>
    <cs:effectRef idx="0"/>
    <cs:fontRef idx="minor">
      <a:schemeClr val="dk1">
        <a:lumMod val="65000"/>
        <a:lumOff val="35000"/>
      </a:schemeClr>
    </cs:fontRef>
    <cs:defRPr sz="900" kern="1200"/>
  </cs:legend>
  <cs:plotArea>
    <cs:lnRef idx="0"/>
    <cs:fillRef idx="0"/>
    <cs:effectRef idx="0"/>
    <cs:fontRef idx="minor">
      <a:schemeClr val="dk1"/>
    </cs:fontRef>
    <cs:spPr>
      <a:pattFill prst="ltDnDiag">
        <a:fgClr>
          <a:schemeClr val="dk1">
            <a:lumMod val="15000"/>
            <a:lumOff val="85000"/>
          </a:schemeClr>
        </a:fgClr>
        <a:bgClr>
          <a:schemeClr val="lt1"/>
        </a:bgClr>
      </a:pattFill>
    </cs:spPr>
  </cs:plotArea>
  <cs:plotArea3D>
    <cs:lnRef idx="0"/>
    <cs:fillRef idx="0"/>
    <cs:effectRef idx="0"/>
    <cs:fontRef idx="minor">
      <a:schemeClr val="dk1"/>
    </cs:fontRef>
    <cs:spPr>
      <a:solidFill>
        <a:schemeClr val="lt1"/>
      </a:solidFill>
    </cs:spPr>
  </cs:plotArea3D>
  <cs:seriesAxis>
    <cs:lnRef idx="0"/>
    <cs:fillRef idx="0"/>
    <cs:effectRef idx="0"/>
    <cs:fontRef idx="minor">
      <a:schemeClr val="dk1">
        <a:lumMod val="65000"/>
        <a:lumOff val="35000"/>
      </a:schemeClr>
    </cs:fontRef>
    <cs:defRPr sz="900" kern="1200"/>
  </cs:seriesAxis>
  <cs:seriesLine>
    <cs:lnRef idx="0"/>
    <cs:fillRef idx="0"/>
    <cs:effectRef idx="0"/>
    <cs:fontRef idx="minor">
      <a:schemeClr val="dk1"/>
    </cs:fontRef>
    <cs:spPr>
      <a:ln w="9525" cap="flat" cmpd="sng" algn="ctr">
        <a:solidFill>
          <a:schemeClr val="dk1">
            <a:lumMod val="35000"/>
            <a:lumOff val="65000"/>
          </a:schemeClr>
        </a:solidFill>
        <a:round/>
      </a:ln>
    </cs:spPr>
  </cs:seriesLine>
  <cs:title>
    <cs:lnRef idx="0"/>
    <cs:fillRef idx="0"/>
    <cs:effectRef idx="0"/>
    <cs:fontRef idx="major">
      <a:schemeClr val="dk1">
        <a:lumMod val="50000"/>
        <a:lumOff val="50000"/>
      </a:schemeClr>
    </cs:fontRef>
    <cs:defRPr sz="1600" b="1" kern="1200" cap="none" spc="0" normalizeH="0" baseline="0"/>
  </cs:title>
  <cs:trendline>
    <cs:lnRef idx="0">
      <cs:styleClr val="auto"/>
    </cs:lnRef>
    <cs:fillRef idx="0"/>
    <cs:effectRef idx="0"/>
    <cs:fontRef idx="minor">
      <a:schemeClr val="dk1"/>
    </cs:fontRef>
    <cs:spPr>
      <a:ln w="19050" cap="rnd">
        <a:solidFill>
          <a:schemeClr val="phClr"/>
        </a:solidFill>
      </a:ln>
    </cs:spPr>
  </cs:trendline>
  <cs:trendlineLabel>
    <cs:lnRef idx="0"/>
    <cs:fillRef idx="0"/>
    <cs:effectRef idx="0"/>
    <cs:fontRef idx="minor">
      <a:schemeClr val="dk1">
        <a:lumMod val="65000"/>
        <a:lumOff val="35000"/>
      </a:schemeClr>
    </cs:fontRef>
    <cs:defRPr sz="900" kern="1200"/>
  </cs:trendlineLabel>
  <cs:upBar>
    <cs:lnRef idx="0"/>
    <cs:fillRef idx="0"/>
    <cs:effectRef idx="0"/>
    <cs:fontRef idx="minor">
      <a:schemeClr val="dk1"/>
    </cs:fontRef>
    <cs:spPr>
      <a:solidFill>
        <a:schemeClr val="lt1"/>
      </a:solidFill>
      <a:ln w="9525" cap="flat" cmpd="sng" algn="ctr">
        <a:solidFill>
          <a:schemeClr val="dk1">
            <a:lumMod val="50000"/>
            <a:lumOff val="50000"/>
          </a:schemeClr>
        </a:solidFill>
        <a:round/>
      </a:ln>
    </cs:spPr>
  </cs:upBar>
  <cs:valueAxis>
    <cs:lnRef idx="0"/>
    <cs:fillRef idx="0"/>
    <cs:effectRef idx="0"/>
    <cs:fontRef idx="minor">
      <a:schemeClr val="dk1">
        <a:lumMod val="65000"/>
        <a:lumOff val="35000"/>
      </a:schemeClr>
    </cs:fontRef>
    <cs:defRPr sz="900" kern="1200"/>
  </cs:valueAxis>
  <cs:wall>
    <cs:lnRef idx="0"/>
    <cs:fillRef idx="0"/>
    <cs:effectRef idx="0"/>
    <cs:fontRef idx="minor">
      <a:schemeClr val="dk1"/>
    </cs:fontRef>
    <cs:spPr>
      <a:pattFill prst="ltDnDiag">
        <a:fgClr>
          <a:schemeClr val="dk1">
            <a:lumMod val="15000"/>
            <a:lumOff val="85000"/>
          </a:schemeClr>
        </a:fgClr>
        <a:bgClr>
          <a:schemeClr val="lt1"/>
        </a:bgClr>
      </a:pattFill>
    </cs:spPr>
  </cs:wall>
</cs:chartStyle>
</file>

<file path=xl/charts/style13.xml><?xml version="1.0" encoding="utf-8"?>
<cs:chartStyle xmlns:cs="http://schemas.microsoft.com/office/drawing/2012/chartStyle" xmlns:a="http://schemas.openxmlformats.org/drawingml/2006/main" id="252">
  <cs:axisTitle>
    <cs:lnRef idx="0"/>
    <cs:fillRef idx="0"/>
    <cs:effectRef idx="0"/>
    <cs:fontRef idx="minor">
      <a:schemeClr val="tx1">
        <a:lumMod val="65000"/>
        <a:lumOff val="35000"/>
      </a:schemeClr>
    </cs:fontRef>
    <cs:defRPr sz="900" b="1" kern="1200"/>
  </cs:axisTitle>
  <cs:categoryAxis>
    <cs:lnRef idx="0"/>
    <cs:fillRef idx="0"/>
    <cs:effectRef idx="0"/>
    <cs:fontRef idx="minor">
      <a:schemeClr val="tx1">
        <a:lumMod val="65000"/>
        <a:lumOff val="35000"/>
      </a:schemeClr>
    </cs:fontRef>
    <cs:spPr>
      <a:ln w="19050"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dk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0">
      <cs:styleClr val="auto"/>
    </cs:fillRef>
    <cs:effectRef idx="0">
      <cs:styleClr val="auto"/>
    </cs:effectRef>
    <cs:fontRef idx="minor">
      <a:schemeClr val="dk1"/>
    </cs:fontRef>
    <cs:spPr>
      <a:pattFill prst="ltUpDiag">
        <a:fgClr>
          <a:schemeClr val="phClr"/>
        </a:fgClr>
        <a:bgClr>
          <a:schemeClr val="phClr">
            <a:lumMod val="20000"/>
            <a:lumOff val="80000"/>
          </a:schemeClr>
        </a:bgClr>
      </a:pattFill>
      <a:ln w="19050">
        <a:solidFill>
          <a:schemeClr val="lt1"/>
        </a:solidFill>
      </a:ln>
      <a:effectLst>
        <a:innerShdw blurRad="114300">
          <a:schemeClr val="phClr"/>
        </a:innerShdw>
      </a:effectLst>
    </cs:spPr>
  </cs:dataPoint>
  <cs:dataPoint3D>
    <cs:lnRef idx="0"/>
    <cs:fillRef idx="0">
      <cs:styleClr val="auto"/>
    </cs:fillRef>
    <cs:effectRef idx="0"/>
    <cs:fontRef idx="minor">
      <a:schemeClr val="dk1"/>
    </cs:fontRef>
    <cs:spPr>
      <a:pattFill prst="ltUpDiag">
        <a:fgClr>
          <a:schemeClr val="phClr"/>
        </a:fgClr>
        <a:bgClr>
          <a:schemeClr val="phClr">
            <a:lumMod val="20000"/>
            <a:lumOff val="80000"/>
          </a:schemeClr>
        </a:bgClr>
      </a:pattFill>
      <a:ln w="19050">
        <a:solidFill>
          <a:schemeClr val="lt1"/>
        </a:solidFill>
      </a:ln>
      <a:effectLst>
        <a:innerShdw blurRad="114300">
          <a:schemeClr val="phClr"/>
        </a:innerShdw>
      </a:effectLst>
    </cs:spPr>
  </cs:dataPoint3D>
  <cs:dataPointLine>
    <cs:lnRef idx="0">
      <cs:styleClr val="auto"/>
    </cs:lnRef>
    <cs:fillRef idx="0"/>
    <cs:effectRef idx="0"/>
    <cs:fontRef idx="minor">
      <a:schemeClr val="dk1"/>
    </cs:fontRef>
    <cs:spPr>
      <a:ln w="28575" cap="rnd">
        <a:solidFill>
          <a:schemeClr val="phClr"/>
        </a:solidFill>
        <a:round/>
      </a:ln>
    </cs:spPr>
  </cs:dataPointLine>
  <cs:dataPointMarker>
    <cs:lnRef idx="0"/>
    <cs:fillRef idx="0">
      <cs:styleClr val="auto"/>
    </cs:fillRef>
    <cs:effectRef idx="0"/>
    <cs:fontRef idx="minor">
      <a:schemeClr val="dk1"/>
    </cs:fontRef>
    <cs:spPr>
      <a:solidFill>
        <a:schemeClr val="phClr"/>
      </a:solidFill>
      <a:ln w="9525">
        <a:solidFill>
          <a:schemeClr val="lt1"/>
        </a:solidFill>
      </a:ln>
    </cs:spPr>
  </cs:dataPointMarker>
  <cs:dataPointMarkerLayout symbol="circle" size="6"/>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ln w="9525">
        <a:solidFill>
          <a:schemeClr val="tx1">
            <a:lumMod val="15000"/>
            <a:lumOff val="85000"/>
          </a:schemeClr>
        </a:solidFill>
      </a:ln>
    </cs:spPr>
    <cs:defRPr sz="900" kern="1200"/>
  </cs:dataTable>
  <cs:downBar>
    <cs:lnRef idx="0"/>
    <cs:fillRef idx="0"/>
    <cs:effectRef idx="0"/>
    <cs:fontRef idx="minor">
      <a:schemeClr val="dk1"/>
    </cs:fontRef>
    <cs:spPr>
      <a:solidFill>
        <a:schemeClr val="dk1">
          <a:lumMod val="75000"/>
          <a:lumOff val="25000"/>
        </a:schemeClr>
      </a:solidFill>
      <a:ln w="9525">
        <a:solidFill>
          <a:schemeClr val="tx1">
            <a:lumMod val="50000"/>
            <a:lumOff val="50000"/>
          </a:schemeClr>
        </a:solidFill>
      </a:ln>
    </cs:spPr>
  </cs:downBar>
  <cs:dropLine>
    <cs:lnRef idx="0"/>
    <cs:fillRef idx="0"/>
    <cs:effectRef idx="0"/>
    <cs:fontRef idx="minor">
      <a:schemeClr val="dk1"/>
    </cs:fontRef>
    <cs:spPr>
      <a:ln w="9525">
        <a:solidFill>
          <a:schemeClr val="tx1">
            <a:lumMod val="35000"/>
            <a:lumOff val="65000"/>
          </a:schemeClr>
        </a:solidFill>
        <a:round/>
      </a:ln>
    </cs:spPr>
  </cs:dropLine>
  <cs:errorBar>
    <cs:lnRef idx="0"/>
    <cs:fillRef idx="0"/>
    <cs:effectRef idx="0"/>
    <cs:fontRef idx="minor">
      <a:schemeClr val="dk1"/>
    </cs:fontRef>
    <cs:spPr>
      <a:ln w="9525">
        <a:solidFill>
          <a:schemeClr val="tx1">
            <a:lumMod val="50000"/>
            <a:lumOff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a:solidFill>
          <a:schemeClr val="tx1">
            <a:lumMod val="15000"/>
            <a:lumOff val="85000"/>
          </a:schemeClr>
        </a:solidFill>
      </a:ln>
    </cs:spPr>
  </cs:gridlineMajor>
  <cs:gridlineMinor>
    <cs:lnRef idx="0"/>
    <cs:fillRef idx="0"/>
    <cs:effectRef idx="0"/>
    <cs:fontRef idx="minor">
      <a:schemeClr val="dk1"/>
    </cs:fontRef>
    <cs:spPr>
      <a:ln>
        <a:solidFill>
          <a:schemeClr val="tx1">
            <a:lumMod val="5000"/>
            <a:lumOff val="95000"/>
          </a:schemeClr>
        </a:solidFill>
      </a:ln>
    </cs:spPr>
  </cs:gridlineMinor>
  <cs:hiLoLine>
    <cs:lnRef idx="0"/>
    <cs:fillRef idx="0"/>
    <cs:effectRef idx="0"/>
    <cs:fontRef idx="minor">
      <a:schemeClr val="dk1"/>
    </cs:fontRef>
    <cs:spPr>
      <a:ln w="9525">
        <a:solidFill>
          <a:schemeClr val="tx1">
            <a:lumMod val="35000"/>
            <a:lumOff val="65000"/>
          </a:schemeClr>
        </a:solidFill>
        <a:round/>
      </a:ln>
    </cs:spPr>
  </cs:hiLoLine>
  <cs:leaderLine>
    <cs:lnRef idx="0"/>
    <cs:fillRef idx="0"/>
    <cs:effectRef idx="0"/>
    <cs:fontRef idx="minor">
      <a:schemeClr val="dk1"/>
    </cs:fontRef>
    <cs:spPr>
      <a:ln w="9525">
        <a:solidFill>
          <a:schemeClr val="tx1">
            <a:lumMod val="35000"/>
            <a:lumOff val="65000"/>
          </a:schemeClr>
        </a:solidFill>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dk1"/>
    </cs:fontRef>
  </cs:plotArea>
  <cs:plotArea3D mods="allowNoFillOverride allowNoLineOverride">
    <cs:lnRef idx="0"/>
    <cs:fillRef idx="0"/>
    <cs:effectRef idx="0"/>
    <cs:fontRef idx="minor">
      <a:schemeClr val="dk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dk1"/>
    </cs:fontRef>
    <cs:spPr>
      <a:ln w="9525">
        <a:solidFill>
          <a:schemeClr val="tx1">
            <a:lumMod val="35000"/>
            <a:lumOff val="65000"/>
          </a:schemeClr>
        </a:solidFill>
        <a:round/>
      </a:ln>
    </cs:spPr>
  </cs:seriesLine>
  <cs:title>
    <cs:lnRef idx="0"/>
    <cs:fillRef idx="0"/>
    <cs:effectRef idx="0"/>
    <cs:fontRef idx="minor">
      <a:schemeClr val="tx1">
        <a:lumMod val="50000"/>
        <a:lumOff val="50000"/>
      </a:schemeClr>
    </cs:fontRef>
    <cs:defRPr sz="1800" b="1" kern="1200" cap="all" spc="150" baseline="0"/>
  </cs:title>
  <cs:trendline>
    <cs:lnRef idx="0">
      <cs:styleClr val="auto"/>
    </cs:lnRef>
    <cs:fillRef idx="0"/>
    <cs:effectRef idx="0"/>
    <cs:fontRef idx="minor">
      <a:schemeClr val="dk1"/>
    </cs:fontRef>
    <cs:spPr>
      <a:ln w="19050" cap="rnd">
        <a:solidFill>
          <a:schemeClr val="phClr"/>
        </a:solidFill>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50000"/>
            <a:lumOff val="50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dk1"/>
    </cs:fontRef>
  </cs:wall>
</cs:chartStyle>
</file>

<file path=xl/charts/style14.xml><?xml version="1.0" encoding="utf-8"?>
<cs:chartStyle xmlns:cs="http://schemas.microsoft.com/office/drawing/2012/chartStyle" xmlns:a="http://schemas.openxmlformats.org/drawingml/2006/main" id="252">
  <cs:axisTitle>
    <cs:lnRef idx="0"/>
    <cs:fillRef idx="0"/>
    <cs:effectRef idx="0"/>
    <cs:fontRef idx="minor">
      <a:schemeClr val="tx1">
        <a:lumMod val="65000"/>
        <a:lumOff val="35000"/>
      </a:schemeClr>
    </cs:fontRef>
    <cs:defRPr sz="900" b="1" kern="1200"/>
  </cs:axisTitle>
  <cs:categoryAxis>
    <cs:lnRef idx="0"/>
    <cs:fillRef idx="0"/>
    <cs:effectRef idx="0"/>
    <cs:fontRef idx="minor">
      <a:schemeClr val="tx1">
        <a:lumMod val="65000"/>
        <a:lumOff val="35000"/>
      </a:schemeClr>
    </cs:fontRef>
    <cs:spPr>
      <a:ln w="19050"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dk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0">
      <cs:styleClr val="auto"/>
    </cs:fillRef>
    <cs:effectRef idx="0">
      <cs:styleClr val="auto"/>
    </cs:effectRef>
    <cs:fontRef idx="minor">
      <a:schemeClr val="dk1"/>
    </cs:fontRef>
    <cs:spPr>
      <a:pattFill prst="ltUpDiag">
        <a:fgClr>
          <a:schemeClr val="phClr"/>
        </a:fgClr>
        <a:bgClr>
          <a:schemeClr val="phClr">
            <a:lumMod val="20000"/>
            <a:lumOff val="80000"/>
          </a:schemeClr>
        </a:bgClr>
      </a:pattFill>
      <a:ln w="19050">
        <a:solidFill>
          <a:schemeClr val="lt1"/>
        </a:solidFill>
      </a:ln>
      <a:effectLst>
        <a:innerShdw blurRad="114300">
          <a:schemeClr val="phClr"/>
        </a:innerShdw>
      </a:effectLst>
    </cs:spPr>
  </cs:dataPoint>
  <cs:dataPoint3D>
    <cs:lnRef idx="0"/>
    <cs:fillRef idx="0">
      <cs:styleClr val="auto"/>
    </cs:fillRef>
    <cs:effectRef idx="0"/>
    <cs:fontRef idx="minor">
      <a:schemeClr val="dk1"/>
    </cs:fontRef>
    <cs:spPr>
      <a:pattFill prst="ltUpDiag">
        <a:fgClr>
          <a:schemeClr val="phClr"/>
        </a:fgClr>
        <a:bgClr>
          <a:schemeClr val="phClr">
            <a:lumMod val="20000"/>
            <a:lumOff val="80000"/>
          </a:schemeClr>
        </a:bgClr>
      </a:pattFill>
      <a:ln w="19050">
        <a:solidFill>
          <a:schemeClr val="lt1"/>
        </a:solidFill>
      </a:ln>
      <a:effectLst>
        <a:innerShdw blurRad="114300">
          <a:schemeClr val="phClr"/>
        </a:innerShdw>
      </a:effectLst>
    </cs:spPr>
  </cs:dataPoint3D>
  <cs:dataPointLine>
    <cs:lnRef idx="0">
      <cs:styleClr val="auto"/>
    </cs:lnRef>
    <cs:fillRef idx="0"/>
    <cs:effectRef idx="0"/>
    <cs:fontRef idx="minor">
      <a:schemeClr val="dk1"/>
    </cs:fontRef>
    <cs:spPr>
      <a:ln w="28575" cap="rnd">
        <a:solidFill>
          <a:schemeClr val="phClr"/>
        </a:solidFill>
        <a:round/>
      </a:ln>
    </cs:spPr>
  </cs:dataPointLine>
  <cs:dataPointMarker>
    <cs:lnRef idx="0"/>
    <cs:fillRef idx="0">
      <cs:styleClr val="auto"/>
    </cs:fillRef>
    <cs:effectRef idx="0"/>
    <cs:fontRef idx="minor">
      <a:schemeClr val="dk1"/>
    </cs:fontRef>
    <cs:spPr>
      <a:solidFill>
        <a:schemeClr val="phClr"/>
      </a:solidFill>
      <a:ln w="9525">
        <a:solidFill>
          <a:schemeClr val="lt1"/>
        </a:solidFill>
      </a:ln>
    </cs:spPr>
  </cs:dataPointMarker>
  <cs:dataPointMarkerLayout symbol="circle" size="6"/>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ln w="9525">
        <a:solidFill>
          <a:schemeClr val="tx1">
            <a:lumMod val="15000"/>
            <a:lumOff val="85000"/>
          </a:schemeClr>
        </a:solidFill>
      </a:ln>
    </cs:spPr>
    <cs:defRPr sz="900" kern="1200"/>
  </cs:dataTable>
  <cs:downBar>
    <cs:lnRef idx="0"/>
    <cs:fillRef idx="0"/>
    <cs:effectRef idx="0"/>
    <cs:fontRef idx="minor">
      <a:schemeClr val="dk1"/>
    </cs:fontRef>
    <cs:spPr>
      <a:solidFill>
        <a:schemeClr val="dk1">
          <a:lumMod val="75000"/>
          <a:lumOff val="25000"/>
        </a:schemeClr>
      </a:solidFill>
      <a:ln w="9525">
        <a:solidFill>
          <a:schemeClr val="tx1">
            <a:lumMod val="50000"/>
            <a:lumOff val="50000"/>
          </a:schemeClr>
        </a:solidFill>
      </a:ln>
    </cs:spPr>
  </cs:downBar>
  <cs:dropLine>
    <cs:lnRef idx="0"/>
    <cs:fillRef idx="0"/>
    <cs:effectRef idx="0"/>
    <cs:fontRef idx="minor">
      <a:schemeClr val="dk1"/>
    </cs:fontRef>
    <cs:spPr>
      <a:ln w="9525">
        <a:solidFill>
          <a:schemeClr val="tx1">
            <a:lumMod val="35000"/>
            <a:lumOff val="65000"/>
          </a:schemeClr>
        </a:solidFill>
        <a:round/>
      </a:ln>
    </cs:spPr>
  </cs:dropLine>
  <cs:errorBar>
    <cs:lnRef idx="0"/>
    <cs:fillRef idx="0"/>
    <cs:effectRef idx="0"/>
    <cs:fontRef idx="minor">
      <a:schemeClr val="dk1"/>
    </cs:fontRef>
    <cs:spPr>
      <a:ln w="9525">
        <a:solidFill>
          <a:schemeClr val="tx1">
            <a:lumMod val="50000"/>
            <a:lumOff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a:solidFill>
          <a:schemeClr val="tx1">
            <a:lumMod val="15000"/>
            <a:lumOff val="85000"/>
          </a:schemeClr>
        </a:solidFill>
      </a:ln>
    </cs:spPr>
  </cs:gridlineMajor>
  <cs:gridlineMinor>
    <cs:lnRef idx="0"/>
    <cs:fillRef idx="0"/>
    <cs:effectRef idx="0"/>
    <cs:fontRef idx="minor">
      <a:schemeClr val="dk1"/>
    </cs:fontRef>
    <cs:spPr>
      <a:ln>
        <a:solidFill>
          <a:schemeClr val="tx1">
            <a:lumMod val="5000"/>
            <a:lumOff val="95000"/>
          </a:schemeClr>
        </a:solidFill>
      </a:ln>
    </cs:spPr>
  </cs:gridlineMinor>
  <cs:hiLoLine>
    <cs:lnRef idx="0"/>
    <cs:fillRef idx="0"/>
    <cs:effectRef idx="0"/>
    <cs:fontRef idx="minor">
      <a:schemeClr val="dk1"/>
    </cs:fontRef>
    <cs:spPr>
      <a:ln w="9525">
        <a:solidFill>
          <a:schemeClr val="tx1">
            <a:lumMod val="35000"/>
            <a:lumOff val="65000"/>
          </a:schemeClr>
        </a:solidFill>
        <a:round/>
      </a:ln>
    </cs:spPr>
  </cs:hiLoLine>
  <cs:leaderLine>
    <cs:lnRef idx="0"/>
    <cs:fillRef idx="0"/>
    <cs:effectRef idx="0"/>
    <cs:fontRef idx="minor">
      <a:schemeClr val="dk1"/>
    </cs:fontRef>
    <cs:spPr>
      <a:ln w="9525">
        <a:solidFill>
          <a:schemeClr val="tx1">
            <a:lumMod val="35000"/>
            <a:lumOff val="65000"/>
          </a:schemeClr>
        </a:solidFill>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dk1"/>
    </cs:fontRef>
  </cs:plotArea>
  <cs:plotArea3D mods="allowNoFillOverride allowNoLineOverride">
    <cs:lnRef idx="0"/>
    <cs:fillRef idx="0"/>
    <cs:effectRef idx="0"/>
    <cs:fontRef idx="minor">
      <a:schemeClr val="dk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dk1"/>
    </cs:fontRef>
    <cs:spPr>
      <a:ln w="9525">
        <a:solidFill>
          <a:schemeClr val="tx1">
            <a:lumMod val="35000"/>
            <a:lumOff val="65000"/>
          </a:schemeClr>
        </a:solidFill>
        <a:round/>
      </a:ln>
    </cs:spPr>
  </cs:seriesLine>
  <cs:title>
    <cs:lnRef idx="0"/>
    <cs:fillRef idx="0"/>
    <cs:effectRef idx="0"/>
    <cs:fontRef idx="minor">
      <a:schemeClr val="tx1">
        <a:lumMod val="50000"/>
        <a:lumOff val="50000"/>
      </a:schemeClr>
    </cs:fontRef>
    <cs:defRPr sz="1800" b="1" kern="1200" cap="all" spc="150" baseline="0"/>
  </cs:title>
  <cs:trendline>
    <cs:lnRef idx="0">
      <cs:styleClr val="auto"/>
    </cs:lnRef>
    <cs:fillRef idx="0"/>
    <cs:effectRef idx="0"/>
    <cs:fontRef idx="minor">
      <a:schemeClr val="dk1"/>
    </cs:fontRef>
    <cs:spPr>
      <a:ln w="19050" cap="rnd">
        <a:solidFill>
          <a:schemeClr val="phClr"/>
        </a:solidFill>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50000"/>
            <a:lumOff val="50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dk1"/>
    </cs:fontRef>
  </cs:wall>
</cs:chartStyl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_rels/drawing2.xml.rels><?xml version="1.0" encoding="UTF-8" standalone="yes"?>
<Relationships xmlns="http://schemas.openxmlformats.org/package/2006/relationships"><Relationship Id="rId8" Type="http://schemas.openxmlformats.org/officeDocument/2006/relationships/chart" Target="../charts/chart9.xml"/><Relationship Id="rId3" Type="http://schemas.openxmlformats.org/officeDocument/2006/relationships/chart" Target="../charts/chart4.xml"/><Relationship Id="rId7" Type="http://schemas.openxmlformats.org/officeDocument/2006/relationships/chart" Target="../charts/chart8.xml"/><Relationship Id="rId2" Type="http://schemas.openxmlformats.org/officeDocument/2006/relationships/chart" Target="../charts/chart3.xml"/><Relationship Id="rId1" Type="http://schemas.openxmlformats.org/officeDocument/2006/relationships/chart" Target="../charts/chart2.xml"/><Relationship Id="rId6" Type="http://schemas.openxmlformats.org/officeDocument/2006/relationships/chart" Target="../charts/chart7.xml"/><Relationship Id="rId5" Type="http://schemas.openxmlformats.org/officeDocument/2006/relationships/chart" Target="../charts/chart6.xml"/><Relationship Id="rId4" Type="http://schemas.openxmlformats.org/officeDocument/2006/relationships/chart" Target="../charts/chart5.xml"/></Relationships>
</file>

<file path=xl/drawings/_rels/drawing3.xml.rels><?xml version="1.0" encoding="UTF-8" standalone="yes"?>
<Relationships xmlns="http://schemas.openxmlformats.org/package/2006/relationships"><Relationship Id="rId3" Type="http://schemas.openxmlformats.org/officeDocument/2006/relationships/chart" Target="../charts/chart12.xml"/><Relationship Id="rId7" Type="http://schemas.openxmlformats.org/officeDocument/2006/relationships/chart" Target="../charts/chart16.xml"/><Relationship Id="rId2" Type="http://schemas.openxmlformats.org/officeDocument/2006/relationships/chart" Target="../charts/chart11.xml"/><Relationship Id="rId1" Type="http://schemas.openxmlformats.org/officeDocument/2006/relationships/chart" Target="../charts/chart10.xml"/><Relationship Id="rId6" Type="http://schemas.openxmlformats.org/officeDocument/2006/relationships/chart" Target="../charts/chart15.xml"/><Relationship Id="rId5" Type="http://schemas.openxmlformats.org/officeDocument/2006/relationships/chart" Target="../charts/chart14.xml"/><Relationship Id="rId4" Type="http://schemas.openxmlformats.org/officeDocument/2006/relationships/chart" Target="../charts/chart13.xml"/></Relationships>
</file>

<file path=xl/drawings/drawing1.xml><?xml version="1.0" encoding="utf-8"?>
<xdr:wsDr xmlns:xdr="http://schemas.openxmlformats.org/drawingml/2006/spreadsheetDrawing" xmlns:a="http://schemas.openxmlformats.org/drawingml/2006/main">
  <xdr:twoCellAnchor>
    <xdr:from>
      <xdr:col>7</xdr:col>
      <xdr:colOff>395286</xdr:colOff>
      <xdr:row>20</xdr:row>
      <xdr:rowOff>114299</xdr:rowOff>
    </xdr:from>
    <xdr:to>
      <xdr:col>16</xdr:col>
      <xdr:colOff>400050</xdr:colOff>
      <xdr:row>36</xdr:row>
      <xdr:rowOff>9524</xdr:rowOff>
    </xdr:to>
    <xdr:graphicFrame macro="">
      <xdr:nvGraphicFramePr>
        <xdr:cNvPr id="2" name="Graphique 1">
          <a:extLst>
            <a:ext uri="{FF2B5EF4-FFF2-40B4-BE49-F238E27FC236}">
              <a16:creationId xmlns:a16="http://schemas.microsoft.com/office/drawing/2014/main" id="{6349645C-6F42-4B4F-8731-0ACF1D934778}"/>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2.xml><?xml version="1.0" encoding="utf-8"?>
<xdr:wsDr xmlns:xdr="http://schemas.openxmlformats.org/drawingml/2006/spreadsheetDrawing" xmlns:a="http://schemas.openxmlformats.org/drawingml/2006/main">
  <xdr:twoCellAnchor editAs="absolute">
    <xdr:from>
      <xdr:col>13</xdr:col>
      <xdr:colOff>196215</xdr:colOff>
      <xdr:row>0</xdr:row>
      <xdr:rowOff>0</xdr:rowOff>
    </xdr:from>
    <xdr:to>
      <xdr:col>17</xdr:col>
      <xdr:colOff>41595</xdr:colOff>
      <xdr:row>11</xdr:row>
      <xdr:rowOff>68310</xdr:rowOff>
    </xdr:to>
    <xdr:graphicFrame macro="">
      <xdr:nvGraphicFramePr>
        <xdr:cNvPr id="2" name="Graphique 1">
          <a:extLst>
            <a:ext uri="{FF2B5EF4-FFF2-40B4-BE49-F238E27FC236}">
              <a16:creationId xmlns:a16="http://schemas.microsoft.com/office/drawing/2014/main" id="{D3B1B0F0-A07B-4079-A435-4BCE8FC32255}"/>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editAs="absolute">
    <xdr:from>
      <xdr:col>7</xdr:col>
      <xdr:colOff>723900</xdr:colOff>
      <xdr:row>24</xdr:row>
      <xdr:rowOff>91440</xdr:rowOff>
    </xdr:from>
    <xdr:to>
      <xdr:col>14</xdr:col>
      <xdr:colOff>326760</xdr:colOff>
      <xdr:row>1048576</xdr:row>
      <xdr:rowOff>36195</xdr:rowOff>
    </xdr:to>
    <xdr:graphicFrame macro="">
      <xdr:nvGraphicFramePr>
        <xdr:cNvPr id="7" name="Graphique 6">
          <a:extLst>
            <a:ext uri="{FF2B5EF4-FFF2-40B4-BE49-F238E27FC236}">
              <a16:creationId xmlns:a16="http://schemas.microsoft.com/office/drawing/2014/main" id="{AF95341F-AFEE-4C9A-B44A-4EC36DCBE86F}"/>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editAs="absolute">
    <xdr:from>
      <xdr:col>0</xdr:col>
      <xdr:colOff>0</xdr:colOff>
      <xdr:row>13</xdr:row>
      <xdr:rowOff>0</xdr:rowOff>
    </xdr:from>
    <xdr:to>
      <xdr:col>9</xdr:col>
      <xdr:colOff>33390</xdr:colOff>
      <xdr:row>24</xdr:row>
      <xdr:rowOff>91515</xdr:rowOff>
    </xdr:to>
    <xdr:graphicFrame macro="">
      <xdr:nvGraphicFramePr>
        <xdr:cNvPr id="8" name="Graphique 7">
          <a:extLst>
            <a:ext uri="{FF2B5EF4-FFF2-40B4-BE49-F238E27FC236}">
              <a16:creationId xmlns:a16="http://schemas.microsoft.com/office/drawing/2014/main" id="{0807C25F-BD49-4E29-A1B2-156CA848AD63}"/>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editAs="absolute">
    <xdr:from>
      <xdr:col>7</xdr:col>
      <xdr:colOff>765810</xdr:colOff>
      <xdr:row>0</xdr:row>
      <xdr:rowOff>0</xdr:rowOff>
    </xdr:from>
    <xdr:to>
      <xdr:col>14</xdr:col>
      <xdr:colOff>391530</xdr:colOff>
      <xdr:row>13</xdr:row>
      <xdr:rowOff>75</xdr:rowOff>
    </xdr:to>
    <xdr:graphicFrame macro="">
      <xdr:nvGraphicFramePr>
        <xdr:cNvPr id="9" name="Graphique 8">
          <a:extLst>
            <a:ext uri="{FF2B5EF4-FFF2-40B4-BE49-F238E27FC236}">
              <a16:creationId xmlns:a16="http://schemas.microsoft.com/office/drawing/2014/main" id="{AAD62388-E58D-459B-A69F-634382DF4D1B}"/>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editAs="absolute">
    <xdr:from>
      <xdr:col>0</xdr:col>
      <xdr:colOff>0</xdr:colOff>
      <xdr:row>0</xdr:row>
      <xdr:rowOff>0</xdr:rowOff>
    </xdr:from>
    <xdr:to>
      <xdr:col>9</xdr:col>
      <xdr:colOff>33390</xdr:colOff>
      <xdr:row>13</xdr:row>
      <xdr:rowOff>75</xdr:rowOff>
    </xdr:to>
    <xdr:graphicFrame macro="">
      <xdr:nvGraphicFramePr>
        <xdr:cNvPr id="10" name="Graphique 9">
          <a:extLst>
            <a:ext uri="{FF2B5EF4-FFF2-40B4-BE49-F238E27FC236}">
              <a16:creationId xmlns:a16="http://schemas.microsoft.com/office/drawing/2014/main" id="{09B33AB1-F22E-47C2-8221-3E24C74B3F28}"/>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editAs="absolute">
    <xdr:from>
      <xdr:col>0</xdr:col>
      <xdr:colOff>0</xdr:colOff>
      <xdr:row>24</xdr:row>
      <xdr:rowOff>91830</xdr:rowOff>
    </xdr:from>
    <xdr:to>
      <xdr:col>9</xdr:col>
      <xdr:colOff>33390</xdr:colOff>
      <xdr:row>37</xdr:row>
      <xdr:rowOff>168105</xdr:rowOff>
    </xdr:to>
    <xdr:graphicFrame macro="">
      <xdr:nvGraphicFramePr>
        <xdr:cNvPr id="11" name="Graphique 10">
          <a:extLst>
            <a:ext uri="{FF2B5EF4-FFF2-40B4-BE49-F238E27FC236}">
              <a16:creationId xmlns:a16="http://schemas.microsoft.com/office/drawing/2014/main" id="{4C8C32BD-8373-496C-A5B8-013992568204}"/>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editAs="absolute">
    <xdr:from>
      <xdr:col>13</xdr:col>
      <xdr:colOff>272415</xdr:colOff>
      <xdr:row>13</xdr:row>
      <xdr:rowOff>3809</xdr:rowOff>
    </xdr:from>
    <xdr:to>
      <xdr:col>17</xdr:col>
      <xdr:colOff>117795</xdr:colOff>
      <xdr:row>23</xdr:row>
      <xdr:rowOff>3539</xdr:rowOff>
    </xdr:to>
    <xdr:graphicFrame macro="">
      <xdr:nvGraphicFramePr>
        <xdr:cNvPr id="12" name="Graphique 11">
          <a:extLst>
            <a:ext uri="{FF2B5EF4-FFF2-40B4-BE49-F238E27FC236}">
              <a16:creationId xmlns:a16="http://schemas.microsoft.com/office/drawing/2014/main" id="{2E209AB4-9233-4196-9DAA-E159EA95DE09}"/>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xdr:twoCellAnchor editAs="absolute">
    <xdr:from>
      <xdr:col>14</xdr:col>
      <xdr:colOff>442745</xdr:colOff>
      <xdr:row>23</xdr:row>
      <xdr:rowOff>145676</xdr:rowOff>
    </xdr:from>
    <xdr:to>
      <xdr:col>19</xdr:col>
      <xdr:colOff>434340</xdr:colOff>
      <xdr:row>37</xdr:row>
      <xdr:rowOff>90768</xdr:rowOff>
    </xdr:to>
    <xdr:graphicFrame macro="">
      <xdr:nvGraphicFramePr>
        <xdr:cNvPr id="13" name="Graphique 12">
          <a:extLst>
            <a:ext uri="{FF2B5EF4-FFF2-40B4-BE49-F238E27FC236}">
              <a16:creationId xmlns:a16="http://schemas.microsoft.com/office/drawing/2014/main" id="{98C23419-9B8E-4ED2-AC01-4BC0EAD097C2}"/>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twoCellAnchor>
  <xdr:twoCellAnchor editAs="absolute">
    <xdr:from>
      <xdr:col>18</xdr:col>
      <xdr:colOff>415850</xdr:colOff>
      <xdr:row>20</xdr:row>
      <xdr:rowOff>129330</xdr:rowOff>
    </xdr:from>
    <xdr:to>
      <xdr:col>20</xdr:col>
      <xdr:colOff>480060</xdr:colOff>
      <xdr:row>33</xdr:row>
      <xdr:rowOff>161924</xdr:rowOff>
    </xdr:to>
    <mc:AlternateContent xmlns:mc="http://schemas.openxmlformats.org/markup-compatibility/2006" xmlns:a14="http://schemas.microsoft.com/office/drawing/2010/main">
      <mc:Choice Requires="a14">
        <xdr:graphicFrame macro="">
          <xdr:nvGraphicFramePr>
            <xdr:cNvPr id="3" name="Horodatage ouverture">
              <a:extLst>
                <a:ext uri="{FF2B5EF4-FFF2-40B4-BE49-F238E27FC236}">
                  <a16:creationId xmlns:a16="http://schemas.microsoft.com/office/drawing/2014/main" id="{910A5CE7-88F1-4640-9A1B-A16CC23ECDCA}"/>
                </a:ext>
              </a:extLst>
            </xdr:cNvPr>
            <xdr:cNvGraphicFramePr>
              <a:graphicFrameLocks noMove="1" noResize="1"/>
            </xdr:cNvGraphicFramePr>
          </xdr:nvGraphicFramePr>
          <xdr:xfrm>
            <a:off x="0" y="0"/>
            <a:ext cx="0" cy="0"/>
          </xdr:xfrm>
          <a:graphic>
            <a:graphicData uri="http://schemas.microsoft.com/office/drawing/2010/slicer">
              <sle:slicer xmlns:sle="http://schemas.microsoft.com/office/drawing/2010/slicer" name="Horodatage ouverture"/>
            </a:graphicData>
          </a:graphic>
        </xdr:graphicFrame>
      </mc:Choice>
      <mc:Fallback xmlns="">
        <xdr:sp macro="" textlink="">
          <xdr:nvSpPr>
            <xdr:cNvPr id="0" name=""/>
            <xdr:cNvSpPr>
              <a:spLocks noTextEdit="1"/>
            </xdr:cNvSpPr>
          </xdr:nvSpPr>
          <xdr:spPr>
            <a:xfrm>
              <a:off x="16341650" y="4053631"/>
              <a:ext cx="1426285" cy="1034670"/>
            </a:xfrm>
            <a:prstGeom prst="rect">
              <a:avLst/>
            </a:prstGeom>
            <a:solidFill>
              <a:prstClr val="white"/>
            </a:solidFill>
            <a:ln w="1">
              <a:solidFill>
                <a:prstClr val="green"/>
              </a:solidFill>
            </a:ln>
          </xdr:spPr>
          <xdr:txBody>
            <a:bodyPr vertOverflow="clip" horzOverflow="clip"/>
            <a:lstStyle/>
            <a:p>
              <a:r>
                <a:rPr lang="fr-FR" sz="1100"/>
                <a:t>Cette forme représente un segment. Les segments sont pris en charge dans Excel 2010 ou version ultérieure.
En revanche, si la forme a été modifiée dans une version précédente d’Excel, ou si le classeur a été enregistré dans Excel 2003 ou une version précédente, vous ne pouvez pas utiliser le segment.</a:t>
              </a:r>
            </a:p>
          </xdr:txBody>
        </xdr:sp>
      </mc:Fallback>
    </mc:AlternateContent>
    <xdr:clientData fLocksWithSheet="0"/>
  </xdr:twoCellAnchor>
  <xdr:twoCellAnchor editAs="absolute">
    <xdr:from>
      <xdr:col>18</xdr:col>
      <xdr:colOff>415851</xdr:colOff>
      <xdr:row>10</xdr:row>
      <xdr:rowOff>146024</xdr:rowOff>
    </xdr:from>
    <xdr:to>
      <xdr:col>20</xdr:col>
      <xdr:colOff>480060</xdr:colOff>
      <xdr:row>15</xdr:row>
      <xdr:rowOff>148184</xdr:rowOff>
    </xdr:to>
    <mc:AlternateContent xmlns:mc="http://schemas.openxmlformats.org/markup-compatibility/2006" xmlns:a14="http://schemas.microsoft.com/office/drawing/2010/main">
      <mc:Choice Requires="a14">
        <xdr:graphicFrame macro="">
          <xdr:nvGraphicFramePr>
            <xdr:cNvPr id="4" name="Mois">
              <a:extLst>
                <a:ext uri="{FF2B5EF4-FFF2-40B4-BE49-F238E27FC236}">
                  <a16:creationId xmlns:a16="http://schemas.microsoft.com/office/drawing/2014/main" id="{E1AFE03D-ADE4-47EC-8A7E-755FC8A48012}"/>
                </a:ext>
              </a:extLst>
            </xdr:cNvPr>
            <xdr:cNvGraphicFramePr>
              <a:graphicFrameLocks noMove="1" noResize="1"/>
            </xdr:cNvGraphicFramePr>
          </xdr:nvGraphicFramePr>
          <xdr:xfrm>
            <a:off x="0" y="0"/>
            <a:ext cx="0" cy="0"/>
          </xdr:xfrm>
          <a:graphic>
            <a:graphicData uri="http://schemas.microsoft.com/office/drawing/2010/slicer">
              <sle:slicer xmlns:sle="http://schemas.microsoft.com/office/drawing/2010/slicer" name="Mois"/>
            </a:graphicData>
          </a:graphic>
        </xdr:graphicFrame>
      </mc:Choice>
      <mc:Fallback xmlns="">
        <xdr:sp macro="" textlink="">
          <xdr:nvSpPr>
            <xdr:cNvPr id="0" name=""/>
            <xdr:cNvSpPr>
              <a:spLocks noTextEdit="1"/>
            </xdr:cNvSpPr>
          </xdr:nvSpPr>
          <xdr:spPr>
            <a:xfrm>
              <a:off x="16341651" y="2070074"/>
              <a:ext cx="1426284" cy="1002285"/>
            </a:xfrm>
            <a:prstGeom prst="rect">
              <a:avLst/>
            </a:prstGeom>
            <a:solidFill>
              <a:prstClr val="white"/>
            </a:solidFill>
            <a:ln w="1">
              <a:solidFill>
                <a:prstClr val="green"/>
              </a:solidFill>
            </a:ln>
          </xdr:spPr>
          <xdr:txBody>
            <a:bodyPr vertOverflow="clip" horzOverflow="clip"/>
            <a:lstStyle/>
            <a:p>
              <a:r>
                <a:rPr lang="fr-FR" sz="1100"/>
                <a:t>Cette forme représente un segment. Les segments sont pris en charge dans Excel 2010 ou version ultérieure.
En revanche, si la forme a été modifiée dans une version précédente d’Excel, ou si le classeur a été enregistré dans Excel 2003 ou une version précédente, vous ne pouvez pas utiliser le segment.</a:t>
              </a:r>
            </a:p>
          </xdr:txBody>
        </xdr:sp>
      </mc:Fallback>
    </mc:AlternateContent>
    <xdr:clientData fLocksWithSheet="0"/>
  </xdr:twoCellAnchor>
  <xdr:twoCellAnchor editAs="absolute">
    <xdr:from>
      <xdr:col>18</xdr:col>
      <xdr:colOff>415851</xdr:colOff>
      <xdr:row>5</xdr:row>
      <xdr:rowOff>149380</xdr:rowOff>
    </xdr:from>
    <xdr:to>
      <xdr:col>20</xdr:col>
      <xdr:colOff>480060</xdr:colOff>
      <xdr:row>10</xdr:row>
      <xdr:rowOff>143920</xdr:rowOff>
    </xdr:to>
    <mc:AlternateContent xmlns:mc="http://schemas.openxmlformats.org/markup-compatibility/2006" xmlns:a14="http://schemas.microsoft.com/office/drawing/2010/main">
      <mc:Choice Requires="a14">
        <xdr:graphicFrame macro="">
          <xdr:nvGraphicFramePr>
            <xdr:cNvPr id="5" name="Trimestres">
              <a:extLst>
                <a:ext uri="{FF2B5EF4-FFF2-40B4-BE49-F238E27FC236}">
                  <a16:creationId xmlns:a16="http://schemas.microsoft.com/office/drawing/2014/main" id="{0104811A-1579-48C8-9D8E-90B3DC356447}"/>
                </a:ext>
              </a:extLst>
            </xdr:cNvPr>
            <xdr:cNvGraphicFramePr>
              <a:graphicFrameLocks noMove="1" noResize="1"/>
            </xdr:cNvGraphicFramePr>
          </xdr:nvGraphicFramePr>
          <xdr:xfrm>
            <a:off x="0" y="0"/>
            <a:ext cx="0" cy="0"/>
          </xdr:xfrm>
          <a:graphic>
            <a:graphicData uri="http://schemas.microsoft.com/office/drawing/2010/slicer">
              <sle:slicer xmlns:sle="http://schemas.microsoft.com/office/drawing/2010/slicer" name="Trimestres"/>
            </a:graphicData>
          </a:graphic>
        </xdr:graphicFrame>
      </mc:Choice>
      <mc:Fallback xmlns="">
        <xdr:sp macro="" textlink="">
          <xdr:nvSpPr>
            <xdr:cNvPr id="0" name=""/>
            <xdr:cNvSpPr>
              <a:spLocks noTextEdit="1"/>
            </xdr:cNvSpPr>
          </xdr:nvSpPr>
          <xdr:spPr>
            <a:xfrm>
              <a:off x="16341651" y="1054255"/>
              <a:ext cx="1426284" cy="1013715"/>
            </a:xfrm>
            <a:prstGeom prst="rect">
              <a:avLst/>
            </a:prstGeom>
            <a:solidFill>
              <a:prstClr val="white"/>
            </a:solidFill>
            <a:ln w="1">
              <a:solidFill>
                <a:prstClr val="green"/>
              </a:solidFill>
            </a:ln>
          </xdr:spPr>
          <xdr:txBody>
            <a:bodyPr vertOverflow="clip" horzOverflow="clip"/>
            <a:lstStyle/>
            <a:p>
              <a:r>
                <a:rPr lang="fr-FR" sz="1100"/>
                <a:t>Cette forme représente un segment. Les segments sont pris en charge dans Excel 2010 ou version ultérieure.
En revanche, si la forme a été modifiée dans une version précédente d’Excel, ou si le classeur a été enregistré dans Excel 2003 ou une version précédente, vous ne pouvez pas utiliser le segment.</a:t>
              </a:r>
            </a:p>
          </xdr:txBody>
        </xdr:sp>
      </mc:Fallback>
    </mc:AlternateContent>
    <xdr:clientData fLocksWithSheet="0"/>
  </xdr:twoCellAnchor>
  <xdr:twoCellAnchor editAs="absolute">
    <xdr:from>
      <xdr:col>18</xdr:col>
      <xdr:colOff>415851</xdr:colOff>
      <xdr:row>0</xdr:row>
      <xdr:rowOff>42023</xdr:rowOff>
    </xdr:from>
    <xdr:to>
      <xdr:col>20</xdr:col>
      <xdr:colOff>480060</xdr:colOff>
      <xdr:row>5</xdr:row>
      <xdr:rowOff>148958</xdr:rowOff>
    </xdr:to>
    <mc:AlternateContent xmlns:mc="http://schemas.openxmlformats.org/markup-compatibility/2006" xmlns:a14="http://schemas.microsoft.com/office/drawing/2010/main">
      <mc:Choice Requires="a14">
        <xdr:graphicFrame macro="">
          <xdr:nvGraphicFramePr>
            <xdr:cNvPr id="6" name="Années">
              <a:extLst>
                <a:ext uri="{FF2B5EF4-FFF2-40B4-BE49-F238E27FC236}">
                  <a16:creationId xmlns:a16="http://schemas.microsoft.com/office/drawing/2014/main" id="{88E05681-8D63-46B9-9779-73FD164FAEDB}"/>
                </a:ext>
              </a:extLst>
            </xdr:cNvPr>
            <xdr:cNvGraphicFramePr>
              <a:graphicFrameLocks noMove="1" noResize="1"/>
            </xdr:cNvGraphicFramePr>
          </xdr:nvGraphicFramePr>
          <xdr:xfrm>
            <a:off x="0" y="0"/>
            <a:ext cx="0" cy="0"/>
          </xdr:xfrm>
          <a:graphic>
            <a:graphicData uri="http://schemas.microsoft.com/office/drawing/2010/slicer">
              <sle:slicer xmlns:sle="http://schemas.microsoft.com/office/drawing/2010/slicer" name="Années"/>
            </a:graphicData>
          </a:graphic>
        </xdr:graphicFrame>
      </mc:Choice>
      <mc:Fallback xmlns="">
        <xdr:sp macro="" textlink="">
          <xdr:nvSpPr>
            <xdr:cNvPr id="0" name=""/>
            <xdr:cNvSpPr>
              <a:spLocks noTextEdit="1"/>
            </xdr:cNvSpPr>
          </xdr:nvSpPr>
          <xdr:spPr>
            <a:xfrm>
              <a:off x="16341651" y="42023"/>
              <a:ext cx="1426284" cy="1011810"/>
            </a:xfrm>
            <a:prstGeom prst="rect">
              <a:avLst/>
            </a:prstGeom>
            <a:solidFill>
              <a:prstClr val="white"/>
            </a:solidFill>
            <a:ln w="1">
              <a:solidFill>
                <a:prstClr val="green"/>
              </a:solidFill>
            </a:ln>
          </xdr:spPr>
          <xdr:txBody>
            <a:bodyPr vertOverflow="clip" horzOverflow="clip"/>
            <a:lstStyle/>
            <a:p>
              <a:r>
                <a:rPr lang="fr-FR" sz="1100"/>
                <a:t>Cette forme représente un segment. Les segments sont pris en charge dans Excel 2010 ou version ultérieure.
En revanche, si la forme a été modifiée dans une version précédente d’Excel, ou si le classeur a été enregistré dans Excel 2003 ou une version précédente, vous ne pouvez pas utiliser le segment.</a:t>
              </a:r>
            </a:p>
          </xdr:txBody>
        </xdr:sp>
      </mc:Fallback>
    </mc:AlternateContent>
    <xdr:clientData fLocksWithSheet="0"/>
  </xdr:twoCellAnchor>
  <xdr:twoCellAnchor editAs="absolute">
    <xdr:from>
      <xdr:col>18</xdr:col>
      <xdr:colOff>415625</xdr:colOff>
      <xdr:row>15</xdr:row>
      <xdr:rowOff>144765</xdr:rowOff>
    </xdr:from>
    <xdr:to>
      <xdr:col>20</xdr:col>
      <xdr:colOff>480060</xdr:colOff>
      <xdr:row>20</xdr:row>
      <xdr:rowOff>129780</xdr:rowOff>
    </xdr:to>
    <mc:AlternateContent xmlns:mc="http://schemas.openxmlformats.org/markup-compatibility/2006" xmlns:a14="http://schemas.microsoft.com/office/drawing/2010/main">
      <mc:Choice Requires="a14">
        <xdr:graphicFrame macro="">
          <xdr:nvGraphicFramePr>
            <xdr:cNvPr id="14" name="N° de semaine">
              <a:extLst>
                <a:ext uri="{FF2B5EF4-FFF2-40B4-BE49-F238E27FC236}">
                  <a16:creationId xmlns:a16="http://schemas.microsoft.com/office/drawing/2014/main" id="{0CE17FF2-CC28-4D11-BF8E-96BB9A7ACF57}"/>
                </a:ext>
              </a:extLst>
            </xdr:cNvPr>
            <xdr:cNvGraphicFramePr>
              <a:graphicFrameLocks noMove="1" noResize="1"/>
            </xdr:cNvGraphicFramePr>
          </xdr:nvGraphicFramePr>
          <xdr:xfrm>
            <a:off x="0" y="0"/>
            <a:ext cx="0" cy="0"/>
          </xdr:xfrm>
          <a:graphic>
            <a:graphicData uri="http://schemas.microsoft.com/office/drawing/2010/slicer">
              <sle:slicer xmlns:sle="http://schemas.microsoft.com/office/drawing/2010/slicer" name="N° de semaine"/>
            </a:graphicData>
          </a:graphic>
        </xdr:graphicFrame>
      </mc:Choice>
      <mc:Fallback xmlns="">
        <xdr:sp macro="" textlink="">
          <xdr:nvSpPr>
            <xdr:cNvPr id="0" name=""/>
            <xdr:cNvSpPr>
              <a:spLocks noTextEdit="1"/>
            </xdr:cNvSpPr>
          </xdr:nvSpPr>
          <xdr:spPr>
            <a:xfrm>
              <a:off x="16341425" y="3068940"/>
              <a:ext cx="1426510" cy="985140"/>
            </a:xfrm>
            <a:prstGeom prst="rect">
              <a:avLst/>
            </a:prstGeom>
            <a:solidFill>
              <a:prstClr val="white"/>
            </a:solidFill>
            <a:ln w="1">
              <a:solidFill>
                <a:prstClr val="green"/>
              </a:solidFill>
            </a:ln>
          </xdr:spPr>
          <xdr:txBody>
            <a:bodyPr vertOverflow="clip" horzOverflow="clip"/>
            <a:lstStyle/>
            <a:p>
              <a:r>
                <a:rPr lang="fr-FR" sz="1100"/>
                <a:t>Cette forme représente un segment. Les segments sont pris en charge dans Excel 2010 ou version ultérieure.
En revanche, si la forme a été modifiée dans une version précédente d’Excel, ou si le classeur a été enregistré dans Excel 2003 ou une version précédente, vous ne pouvez pas utiliser le segment.</a:t>
              </a:r>
            </a:p>
          </xdr:txBody>
        </xdr:sp>
      </mc:Fallback>
    </mc:AlternateContent>
    <xdr:clientData fLocksWithSheet="0"/>
  </xdr:twoCellAnchor>
</xdr:wsDr>
</file>

<file path=xl/drawings/drawing3.xml><?xml version="1.0" encoding="utf-8"?>
<xdr:wsDr xmlns:xdr="http://schemas.openxmlformats.org/drawingml/2006/spreadsheetDrawing" xmlns:a="http://schemas.openxmlformats.org/drawingml/2006/main">
  <xdr:twoCellAnchor editAs="absolute">
    <xdr:from>
      <xdr:col>0</xdr:col>
      <xdr:colOff>0</xdr:colOff>
      <xdr:row>0</xdr:row>
      <xdr:rowOff>0</xdr:rowOff>
    </xdr:from>
    <xdr:to>
      <xdr:col>9</xdr:col>
      <xdr:colOff>34875</xdr:colOff>
      <xdr:row>14</xdr:row>
      <xdr:rowOff>213000</xdr:rowOff>
    </xdr:to>
    <xdr:graphicFrame macro="">
      <xdr:nvGraphicFramePr>
        <xdr:cNvPr id="3" name="Graphique 2">
          <a:extLst>
            <a:ext uri="{FF2B5EF4-FFF2-40B4-BE49-F238E27FC236}">
              <a16:creationId xmlns:a16="http://schemas.microsoft.com/office/drawing/2014/main" id="{D7A92F88-9D8A-4254-A4E0-2C1A9437E006}"/>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editAs="absolute">
    <xdr:from>
      <xdr:col>0</xdr:col>
      <xdr:colOff>0</xdr:colOff>
      <xdr:row>14</xdr:row>
      <xdr:rowOff>96305</xdr:rowOff>
    </xdr:from>
    <xdr:to>
      <xdr:col>8</xdr:col>
      <xdr:colOff>402166</xdr:colOff>
      <xdr:row>25</xdr:row>
      <xdr:rowOff>182305</xdr:rowOff>
    </xdr:to>
    <xdr:graphicFrame macro="">
      <xdr:nvGraphicFramePr>
        <xdr:cNvPr id="5" name="Graphique 4">
          <a:extLst>
            <a:ext uri="{FF2B5EF4-FFF2-40B4-BE49-F238E27FC236}">
              <a16:creationId xmlns:a16="http://schemas.microsoft.com/office/drawing/2014/main" id="{7979E6EF-7CCA-4FC5-B34C-67B644707435}"/>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editAs="absolute">
    <xdr:from>
      <xdr:col>0</xdr:col>
      <xdr:colOff>0</xdr:colOff>
      <xdr:row>25</xdr:row>
      <xdr:rowOff>136249</xdr:rowOff>
    </xdr:from>
    <xdr:to>
      <xdr:col>9</xdr:col>
      <xdr:colOff>34875</xdr:colOff>
      <xdr:row>36</xdr:row>
      <xdr:rowOff>222249</xdr:rowOff>
    </xdr:to>
    <xdr:graphicFrame macro="">
      <xdr:nvGraphicFramePr>
        <xdr:cNvPr id="6" name="Graphique 5">
          <a:extLst>
            <a:ext uri="{FF2B5EF4-FFF2-40B4-BE49-F238E27FC236}">
              <a16:creationId xmlns:a16="http://schemas.microsoft.com/office/drawing/2014/main" id="{7562FFF8-5F29-411F-B231-A07140CA11A6}"/>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editAs="absolute">
    <xdr:from>
      <xdr:col>7</xdr:col>
      <xdr:colOff>762000</xdr:colOff>
      <xdr:row>0</xdr:row>
      <xdr:rowOff>0</xdr:rowOff>
    </xdr:from>
    <xdr:to>
      <xdr:col>14</xdr:col>
      <xdr:colOff>511125</xdr:colOff>
      <xdr:row>14</xdr:row>
      <xdr:rowOff>213000</xdr:rowOff>
    </xdr:to>
    <xdr:graphicFrame macro="">
      <xdr:nvGraphicFramePr>
        <xdr:cNvPr id="8" name="Graphique 7">
          <a:extLst>
            <a:ext uri="{FF2B5EF4-FFF2-40B4-BE49-F238E27FC236}">
              <a16:creationId xmlns:a16="http://schemas.microsoft.com/office/drawing/2014/main" id="{C9C1DE24-9A03-4337-B023-EC74BCC5A60E}"/>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editAs="absolute">
    <xdr:from>
      <xdr:col>13</xdr:col>
      <xdr:colOff>239183</xdr:colOff>
      <xdr:row>0</xdr:row>
      <xdr:rowOff>0</xdr:rowOff>
    </xdr:from>
    <xdr:to>
      <xdr:col>18</xdr:col>
      <xdr:colOff>156108</xdr:colOff>
      <xdr:row>12</xdr:row>
      <xdr:rowOff>2700</xdr:rowOff>
    </xdr:to>
    <xdr:graphicFrame macro="">
      <xdr:nvGraphicFramePr>
        <xdr:cNvPr id="10" name="Graphique 9">
          <a:extLst>
            <a:ext uri="{FF2B5EF4-FFF2-40B4-BE49-F238E27FC236}">
              <a16:creationId xmlns:a16="http://schemas.microsoft.com/office/drawing/2014/main" id="{4DE73BBC-DACC-49CC-BD0D-9AF17D98FE14}"/>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editAs="absolute">
    <xdr:from>
      <xdr:col>13</xdr:col>
      <xdr:colOff>242358</xdr:colOff>
      <xdr:row>13</xdr:row>
      <xdr:rowOff>105833</xdr:rowOff>
    </xdr:from>
    <xdr:to>
      <xdr:col>18</xdr:col>
      <xdr:colOff>159283</xdr:colOff>
      <xdr:row>21</xdr:row>
      <xdr:rowOff>211816</xdr:rowOff>
    </xdr:to>
    <xdr:graphicFrame macro="">
      <xdr:nvGraphicFramePr>
        <xdr:cNvPr id="11" name="Graphique 10">
          <a:extLst>
            <a:ext uri="{FF2B5EF4-FFF2-40B4-BE49-F238E27FC236}">
              <a16:creationId xmlns:a16="http://schemas.microsoft.com/office/drawing/2014/main" id="{45EE5431-D16F-4DD8-B0F2-4361BEB92EEF}"/>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editAs="absolute">
    <xdr:from>
      <xdr:col>16</xdr:col>
      <xdr:colOff>348660</xdr:colOff>
      <xdr:row>0</xdr:row>
      <xdr:rowOff>0</xdr:rowOff>
    </xdr:from>
    <xdr:to>
      <xdr:col>20</xdr:col>
      <xdr:colOff>762001</xdr:colOff>
      <xdr:row>13</xdr:row>
      <xdr:rowOff>101275</xdr:rowOff>
    </xdr:to>
    <xdr:graphicFrame macro="">
      <xdr:nvGraphicFramePr>
        <xdr:cNvPr id="12" name="Graphique 11">
          <a:extLst>
            <a:ext uri="{FF2B5EF4-FFF2-40B4-BE49-F238E27FC236}">
              <a16:creationId xmlns:a16="http://schemas.microsoft.com/office/drawing/2014/main" id="{D86FE55C-B3D9-4F10-8D5D-35FB3869671B}"/>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xdr:twoCellAnchor editAs="absolute">
    <xdr:from>
      <xdr:col>20</xdr:col>
      <xdr:colOff>621240</xdr:colOff>
      <xdr:row>0</xdr:row>
      <xdr:rowOff>42333</xdr:rowOff>
    </xdr:from>
    <xdr:to>
      <xdr:col>22</xdr:col>
      <xdr:colOff>31748</xdr:colOff>
      <xdr:row>14</xdr:row>
      <xdr:rowOff>29633</xdr:rowOff>
    </xdr:to>
    <mc:AlternateContent xmlns:mc="http://schemas.openxmlformats.org/markup-compatibility/2006" xmlns:a14="http://schemas.microsoft.com/office/drawing/2010/main">
      <mc:Choice Requires="a14">
        <xdr:graphicFrame macro="">
          <xdr:nvGraphicFramePr>
            <xdr:cNvPr id="13" name="Jours">
              <a:extLst>
                <a:ext uri="{FF2B5EF4-FFF2-40B4-BE49-F238E27FC236}">
                  <a16:creationId xmlns:a16="http://schemas.microsoft.com/office/drawing/2014/main" id="{ED2621CA-1205-4D2C-B466-CC3BC191AA99}"/>
                </a:ext>
              </a:extLst>
            </xdr:cNvPr>
            <xdr:cNvGraphicFramePr>
              <a:graphicFrameLocks noMove="1" noResize="1"/>
            </xdr:cNvGraphicFramePr>
          </xdr:nvGraphicFramePr>
          <xdr:xfrm>
            <a:off x="0" y="0"/>
            <a:ext cx="0" cy="0"/>
          </xdr:xfrm>
          <a:graphic>
            <a:graphicData uri="http://schemas.microsoft.com/office/drawing/2010/slicer">
              <sle:slicer xmlns:sle="http://schemas.microsoft.com/office/drawing/2010/slicer" name="Jours"/>
            </a:graphicData>
          </a:graphic>
        </xdr:graphicFrame>
      </mc:Choice>
      <mc:Fallback xmlns="">
        <xdr:sp macro="" textlink="">
          <xdr:nvSpPr>
            <xdr:cNvPr id="0" name=""/>
            <xdr:cNvSpPr>
              <a:spLocks noTextEdit="1"/>
            </xdr:cNvSpPr>
          </xdr:nvSpPr>
          <xdr:spPr>
            <a:xfrm>
              <a:off x="18104907" y="42333"/>
              <a:ext cx="1315508" cy="2654300"/>
            </a:xfrm>
            <a:prstGeom prst="rect">
              <a:avLst/>
            </a:prstGeom>
            <a:solidFill>
              <a:prstClr val="white"/>
            </a:solidFill>
            <a:ln w="1">
              <a:solidFill>
                <a:prstClr val="green"/>
              </a:solidFill>
            </a:ln>
          </xdr:spPr>
          <xdr:txBody>
            <a:bodyPr vertOverflow="clip" horzOverflow="clip"/>
            <a:lstStyle/>
            <a:p>
              <a:r>
                <a:rPr lang="fr-FR" sz="1100"/>
                <a:t>Cette forme représente un segment. Les segments sont pris en charge dans Excel 2010 ou version ultérieure.
En revanche, si la forme a été modifiée dans une version précédente d’Excel, ou si le classeur a été enregistré dans Excel 2003 ou une version précédente, vous ne pouvez pas utiliser le segment.</a:t>
              </a:r>
            </a:p>
          </xdr:txBody>
        </xdr:sp>
      </mc:Fallback>
    </mc:AlternateContent>
    <xdr:clientData fLocksWithSheet="0"/>
  </xdr:twoCellAnchor>
</xdr:wsDr>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_rels/pivotCacheDefinition2.xml.rels><?xml version="1.0" encoding="UTF-8" standalone="yes"?>
<Relationships xmlns="http://schemas.openxmlformats.org/package/2006/relationships"><Relationship Id="rId1" Type="http://schemas.openxmlformats.org/officeDocument/2006/relationships/pivotCacheRecords" Target="pivotCacheRecords2.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Gaëtan" refreshedDate="43882.438374189813" createdVersion="6" refreshedVersion="6" minRefreshableVersion="3" recordCount="158" xr:uid="{57E4F908-D0A7-42E0-A5A9-0EC9161D912D}">
  <cacheSource type="worksheet">
    <worksheetSource name="Table_BDD"/>
  </cacheSource>
  <cacheFields count="74">
    <cacheField name="Horodatage ouverture" numFmtId="22">
      <sharedItems containsSemiMixedTypes="0" containsNonDate="0" containsDate="1" containsString="0" minDate="2019-10-14T19:30:52" maxDate="2020-02-21T08:34:36" count="552">
        <d v="2020-02-03T09:41:34"/>
        <d v="2020-02-03T15:49:31"/>
        <d v="2020-02-03T15:50:43"/>
        <d v="2020-02-03T16:08:24"/>
        <d v="2020-02-03T16:08:49"/>
        <d v="2020-02-04T15:29:51"/>
        <d v="2020-02-04T15:36:05"/>
        <d v="2020-02-04T15:36:21"/>
        <d v="2020-02-04T15:36:30"/>
        <d v="2020-02-04T15:37:27"/>
        <d v="2020-02-04T15:40:03"/>
        <d v="2020-02-04T17:12:40"/>
        <d v="2020-02-04T17:27:00"/>
        <d v="2020-02-04T17:29:55"/>
        <d v="2020-02-04T17:31:32"/>
        <d v="2020-02-04T17:32:08"/>
        <d v="2020-02-04T17:44:21"/>
        <d v="2020-02-04T17:47:02"/>
        <d v="2020-02-04T17:48:46"/>
        <d v="2020-02-04T18:05:59"/>
        <d v="2020-02-04T18:07:39"/>
        <d v="2020-02-04T18:12:19"/>
        <d v="2020-02-04T18:24:48"/>
        <d v="2020-02-04T20:11:52"/>
        <d v="2020-02-05T16:01:54"/>
        <d v="2020-02-05T16:02:34"/>
        <d v="2020-02-05T16:03:39"/>
        <d v="2020-02-05T16:04:06"/>
        <d v="2020-02-05T16:04:31"/>
        <d v="2020-02-05T16:08:15"/>
        <d v="2020-02-05T16:09:58"/>
        <d v="2020-02-05T16:10:39"/>
        <d v="2020-02-05T16:15:04"/>
        <d v="2020-02-05T16:15:45"/>
        <d v="2020-02-05T16:16:01"/>
        <d v="2020-02-05T16:26:49"/>
        <d v="2020-02-05T16:27:04"/>
        <d v="2020-02-05T16:27:28"/>
        <d v="2020-02-05T16:29:36"/>
        <d v="2020-02-05T16:30:15"/>
        <d v="2020-02-05T16:36:18"/>
        <d v="2020-02-05T16:40:50"/>
        <d v="2020-02-05T16:41:20"/>
        <d v="2020-02-05T16:42:05"/>
        <d v="2020-02-06T15:31:13"/>
        <d v="2020-02-06T15:32:59"/>
        <d v="2020-02-06T15:33:18"/>
        <d v="2020-02-06T15:34:22"/>
        <d v="2020-02-06T15:37:31"/>
        <d v="2020-02-06T15:40:46"/>
        <d v="2020-02-06T15:42:00"/>
        <d v="2020-02-06T15:47:32"/>
        <d v="2020-02-06T15:50:24"/>
        <d v="2020-02-06T15:51:15"/>
        <d v="2020-02-06T15:51:26"/>
        <d v="2020-02-06T21:07:54"/>
        <d v="2020-02-07T11:13:37"/>
        <d v="2020-02-07T11:17:06"/>
        <d v="2020-02-07T14:37:05"/>
        <d v="2020-02-10T15:03:54"/>
        <d v="2020-02-10T15:08:03"/>
        <d v="2020-02-10T15:39:47"/>
        <d v="2020-02-10T15:40:47"/>
        <d v="2020-02-10T15:42:11"/>
        <d v="2020-02-10T15:57:26"/>
        <d v="2020-02-10T16:03:00"/>
        <d v="2020-02-10T16:04:04"/>
        <d v="2020-02-10T16:05:13"/>
        <d v="2020-02-10T16:09:37"/>
        <d v="2020-02-10T16:12:46"/>
        <d v="2020-02-10T16:19:14"/>
        <d v="2020-02-10T16:37:39"/>
        <d v="2020-02-10T16:49:18"/>
        <d v="2020-02-10T21:29:54"/>
        <d v="2020-02-10T21:53:23"/>
        <d v="2020-02-10T21:53:54"/>
        <d v="2020-02-10T21:55:00"/>
        <d v="2020-02-10T21:56:32"/>
        <d v="2020-02-11T15:31:39"/>
        <d v="2020-02-11T15:33:13"/>
        <d v="2020-02-11T15:34:18"/>
        <d v="2020-02-11T15:35:02"/>
        <d v="2020-02-11T15:36:31"/>
        <d v="2020-02-11T15:37:27"/>
        <d v="2020-02-11T17:34:56"/>
        <d v="2020-02-11T17:36:06"/>
        <d v="2020-02-11T17:37:30"/>
        <d v="2020-02-11T20:22:18"/>
        <d v="2020-02-11T20:25:38"/>
        <d v="2020-02-11T21:04:48"/>
        <d v="2020-02-11T21:09:09"/>
        <d v="2020-02-11T21:10:14"/>
        <d v="2020-02-12T11:29:10"/>
        <d v="2020-02-12T11:36:05"/>
        <d v="2020-02-12T16:22:21"/>
        <d v="2020-02-12T16:23:42"/>
        <d v="2020-02-12T16:24:08"/>
        <d v="2020-02-12T16:31:44"/>
        <d v="2020-02-13T15:37:15"/>
        <d v="2020-02-13T15:47:00"/>
        <d v="2020-02-13T15:48:04"/>
        <d v="2020-02-13T15:58:07"/>
        <d v="2020-02-13T16:16:02"/>
        <d v="2020-02-13T16:18:00"/>
        <d v="2020-02-13T16:20:05"/>
        <d v="2020-02-13T16:25:14"/>
        <d v="2020-02-13T16:27:06"/>
        <d v="2020-02-13T16:50:16"/>
        <d v="2020-02-13T16:50:34"/>
        <d v="2020-02-13T16:51:56"/>
        <d v="2020-02-13T16:53:00"/>
        <d v="2020-02-13T16:59:18"/>
        <d v="2020-02-13T17:06:50"/>
        <d v="2020-02-13T17:25:24"/>
        <d v="2020-02-13T17:28:09"/>
        <d v="2020-02-13T17:32:37"/>
        <d v="2020-02-13T18:18:48"/>
        <d v="2020-02-14T09:23:01"/>
        <d v="2020-02-14T10:00:00"/>
        <d v="2020-02-14T10:01:59"/>
        <d v="2020-02-14T10:07:12"/>
        <d v="2020-02-14T10:21:08"/>
        <d v="2020-02-14T11:01:36"/>
        <d v="2020-02-14T15:37:16"/>
        <d v="2020-02-14T15:38:34"/>
        <d v="2020-02-14T15:56:46"/>
        <d v="2020-02-14T16:12:02"/>
        <d v="2020-02-14T16:13:14"/>
        <d v="2020-02-14T16:16:33"/>
        <d v="2020-02-14T16:52:20"/>
        <d v="2020-02-14T16:56:23"/>
        <d v="2020-02-14T17:00:43"/>
        <d v="2020-02-14T17:06:43"/>
        <d v="2020-02-14T17:11:09"/>
        <d v="2020-02-14T17:52:18"/>
        <d v="2020-02-14T17:54:43"/>
        <d v="2020-02-14T18:08:12"/>
        <d v="2020-02-14T18:16:40"/>
        <d v="2020-02-14T18:35:49"/>
        <d v="2020-02-14T18:44:06"/>
        <d v="2020-02-14T18:48:38"/>
        <d v="2020-02-14T19:19:49"/>
        <d v="2020-02-14T19:53:47"/>
        <d v="2020-02-14T21:38:27"/>
        <d v="2020-02-17T10:08:13"/>
        <d v="2020-02-18T16:07:09"/>
        <d v="2020-02-18T16:35:03"/>
        <d v="2020-02-18T16:38:53"/>
        <d v="2020-02-18T17:28:21"/>
        <d v="2020-02-18T17:28:29"/>
        <d v="2020-02-18T17:40:25"/>
        <d v="2020-02-18T17:50:29"/>
        <d v="2020-02-18T17:56:36"/>
        <d v="2020-02-18T18:02:17"/>
        <d v="2020-02-19T00:00:00"/>
        <d v="2020-02-20T15:04:41"/>
        <d v="2020-02-20T18:10:14"/>
        <d v="2020-02-21T08:34:36"/>
        <d v="2020-01-07T15:43:06" u="1"/>
        <d v="2020-01-09T20:39:07" u="1"/>
        <d v="2019-10-28T16:22:40" u="1"/>
        <d v="2020-01-08T20:31:04" u="1"/>
        <d v="2019-10-15T17:22:27" u="1"/>
        <d v="2020-01-23T13:15:13" u="1"/>
        <d v="2020-01-14T15:35:09" u="1"/>
        <d v="2020-01-07T15:47:05" u="1"/>
        <d v="2020-01-20T10:56:34" u="1"/>
        <d v="2020-01-08T20:39:04" u="1"/>
        <d v="2020-01-07T16:58:53" u="1"/>
        <d v="2020-01-23T14:13:42" u="1"/>
        <d v="2020-01-13T16:18:49" u="1"/>
        <d v="2020-01-06T16:03:54" u="1"/>
        <d v="2020-01-08T20:06:41" u="1"/>
        <d v="2020-01-21T16:58:04" u="1"/>
        <d v="2020-01-07T15:44:18" u="1"/>
        <d v="2020-01-20T08:49:46" u="1"/>
        <d v="2020-01-17T17:15:05" u="1"/>
        <d v="2020-01-23T16:56:35" u="1"/>
        <d v="2020-01-07T21:00:07" u="1"/>
        <d v="2020-01-02T16:15:51" u="1"/>
        <d v="2020-01-13T15:52:24" u="1"/>
        <d v="2020-01-20T10:58:01" u="1"/>
        <d v="2020-01-14T15:32:20" u="1"/>
        <d v="2019-11-04T20:38:20" u="1"/>
        <d v="2020-01-06T16:01:20" u="1"/>
        <d v="2020-01-17T15:40:23" u="1"/>
        <d v="2020-01-22T11:35:11" u="1"/>
        <d v="2020-01-23T16:03:04" u="1"/>
        <d v="2020-01-08T17:31:57" u="1"/>
        <d v="2020-01-07T17:03:49" u="1"/>
        <d v="2020-01-22T16:28:23" u="1"/>
        <d v="2020-01-16T15:44:21" u="1"/>
        <d v="2020-01-23T15:47:13" u="1"/>
        <d v="2019-11-01T19:47:31" u="1"/>
        <d v="2020-01-16T15:31:02" u="1"/>
        <d v="2020-01-08T16:04:03" u="1"/>
        <d v="2020-01-16T16:07:57" u="1"/>
        <d v="2020-01-02T15:51:54" u="1"/>
        <d v="2019-10-17T14:11:32" u="1"/>
        <d v="2020-01-23T15:43:10" u="1"/>
        <d v="2020-01-23T13:27:06" u="1"/>
        <d v="2020-01-07T16:44:10" u="1"/>
        <d v="2020-01-07T16:16:03" u="1"/>
        <d v="2020-01-07T16:08:01" u="1"/>
        <d v="2020-01-07T18:16:03" u="1"/>
        <d v="2020-01-17T21:15:58" u="1"/>
        <d v="2020-01-03T09:33:17" u="1"/>
        <d v="2020-01-23T13:31:05" u="1"/>
        <d v="2019-10-21T16:52:58" u="1"/>
        <d v="2019-10-18T16:40:52" u="1"/>
        <d v="2020-01-07T18:31:50" u="1"/>
        <d v="2020-01-09T10:45:24" u="1"/>
        <d v="2020-01-07T18:38:36" u="1"/>
        <d v="2020-01-23T14:07:58" u="1"/>
        <d v="2020-01-22T18:28:15" u="1"/>
        <d v="2020-01-07T16:48:05" u="1"/>
        <d v="2020-01-17T21:11:51" u="1"/>
        <d v="2020-01-22T13:17:26" u="1"/>
        <d v="2019-10-23T16:07:29" u="1"/>
        <d v="2020-01-21T10:55:03" u="1"/>
        <d v="2020-01-21T16:20:10" u="1"/>
        <d v="2019-10-18T10:40:46" u="1"/>
        <d v="2020-01-21T15:31:58" u="1"/>
        <d v="2020-01-22T16:19:56" u="1"/>
        <d v="2020-01-21T16:06:36" u="1"/>
        <d v="2020-01-23T17:02:37" u="1"/>
        <d v="2020-01-17T21:26:37" u="1"/>
        <d v="2020-01-21T11:28:10" u="1"/>
        <d v="2019-10-28T17:37:08" u="1"/>
        <d v="2020-01-07T15:52:02" u="1"/>
        <d v="2020-01-07T18:36:59" u="1"/>
        <d v="2019-11-01T15:45:48" u="1"/>
        <d v="2020-01-08T20:39:45" u="1"/>
        <d v="2020-01-16T09:06:27" u="1"/>
        <d v="2020-01-15T15:32:01" u="1"/>
        <d v="2020-01-23T13:31:54" u="1"/>
        <d v="2019-10-28T16:05:57" u="1"/>
        <d v="2020-01-09T14:01:03" u="1"/>
        <d v="2020-01-23T17:46:42" u="1"/>
        <d v="2020-01-22T15:45:25" u="1"/>
        <d v="2020-01-07T18:20:51" u="1"/>
        <d v="2020-01-23T15:56:13" u="1"/>
        <d v="2020-01-21T12:44:08" u="1"/>
        <d v="2020-01-23T10:31:52" u="1"/>
        <d v="2020-01-07T16:33:07" u="1"/>
        <d v="2020-01-02T17:06:11" u="1"/>
        <d v="2019-11-01T19:07:03" u="1"/>
        <d v="2019-10-29T16:33:00" u="1"/>
        <d v="2020-01-14T15:54:31" u="1"/>
        <d v="2019-10-18T16:43:21" u="1"/>
        <d v="2019-10-30T14:41:01" u="1"/>
        <d v="2020-01-22T13:13:13" u="1"/>
        <d v="2020-01-23T19:05:12" u="1"/>
        <d v="2020-01-23T10:35:49" u="1"/>
        <d v="2019-11-04T18:15:04" u="1"/>
        <d v="2019-10-25T15:54:13" u="1"/>
        <d v="2020-01-08T19:51:38" u="1"/>
        <d v="2019-11-06T15:40:26" u="1"/>
        <d v="2020-01-14T16:22:21" u="1"/>
        <d v="2019-11-04T17:59:13" u="1"/>
        <d v="2020-01-07T16:22:14" u="1"/>
        <d v="2020-01-23T14:12:57" u="1"/>
        <d v="2020-01-07T16:37:02" u="1"/>
        <d v="2020-01-23T15:54:36" u="1"/>
        <d v="2020-01-09T14:09:58" u="1"/>
        <d v="2020-01-03T09:36:43" u="1"/>
        <d v="2020-01-23T14:10:25" u="1"/>
        <d v="2020-01-02T17:43:28" u="1"/>
        <d v="2020-01-13T16:06:14" u="1"/>
        <d v="2020-01-16T15:27:36" u="1"/>
        <d v="2019-10-18T10:35:13" u="1"/>
        <d v="2020-01-17T17:26:21" u="1"/>
        <d v="2020-01-07T16:58:19" u="1"/>
        <d v="2019-10-23T16:03:10" u="1"/>
        <d v="2020-01-13T15:41:05" u="1"/>
        <d v="2020-01-14T15:33:04" u="1"/>
        <d v="2020-01-06T16:41:59" u="1"/>
        <d v="2020-01-15T15:43:37" u="1"/>
        <d v="2020-01-22T08:56:00" u="1"/>
        <d v="2020-01-09T13:27:27" u="1"/>
        <d v="2020-01-22T15:33:10" u="1"/>
        <d v="2019-10-17T14:15:05" u="1"/>
        <d v="2020-01-14T15:36:48" u="1"/>
        <d v="2019-10-31T14:58:12" u="1"/>
        <d v="2020-01-14T16:24:45" u="1"/>
        <d v="2019-10-29T14:50:08" u="1"/>
        <d v="2019-10-31T15:15:17" u="1"/>
        <d v="2020-01-23T16:10:19" u="1"/>
        <d v="2020-01-23T13:17:05" u="1"/>
        <d v="2020-01-17T21:26:17" u="1"/>
        <d v="2020-01-21T16:59:43" u="1"/>
        <d v="2019-11-04T20:00:06" u="1"/>
        <d v="2020-01-15T15:38:16" u="1"/>
        <d v="2020-01-17T15:30:16" u="1"/>
        <d v="2020-01-23T13:21:04" u="1"/>
        <d v="2019-10-28T17:53:51" u="1"/>
        <d v="2020-01-08T20:46:11" u="1"/>
        <d v="2020-01-22T12:15:31" u="1"/>
        <d v="2020-01-09T15:34:07" u="1"/>
        <d v="2020-01-09T14:26:05" u="1"/>
        <d v="2020-01-09T13:53:57" u="1"/>
        <d v="2020-01-23T14:00:42" u="1"/>
        <d v="2020-01-23T19:15:30" u="1"/>
        <d v="2019-10-17T08:08:11" u="1"/>
        <d v="2020-01-23T10:40:50" u="1"/>
        <d v="2020-01-20T09:39:31" u="1"/>
        <d v="2020-01-17T17:17:54" u="1"/>
        <d v="2020-01-07T16:33:48" u="1"/>
        <d v="2019-10-31T15:39:15" u="1"/>
        <d v="2020-01-09T11:39:20" u="1"/>
        <d v="2020-01-23T15:57:07" u="1"/>
        <d v="2020-01-02T16:13:38" u="1"/>
        <d v="2020-01-07T19:05:41" u="1"/>
        <d v="2020-01-23T13:21:59" u="1"/>
        <d v="2020-01-07T21:43:19" u="1"/>
        <d v="2020-01-07T19:11:11" u="1"/>
        <d v="2020-01-09T15:45:51" u="1"/>
        <d v="2020-01-07T16:29:45" u="1"/>
        <d v="2020-01-07T15:48:34" u="1"/>
        <d v="2019-10-18T10:47:02" u="1"/>
        <d v="2019-10-24T17:35:05" u="1"/>
        <d v="2020-01-20T18:49:00" u="1"/>
        <d v="2020-01-07T20:08:24" u="1"/>
        <d v="2020-01-16T09:04:30" u="1"/>
        <d v="2019-10-28T16:00:14" u="1"/>
        <d v="2020-01-23T17:17:54" u="1"/>
        <d v="2020-01-22T15:32:41" u="1"/>
        <d v="2020-01-23T10:30:10" u="1"/>
        <d v="2020-01-17T15:31:20" u="1"/>
        <d v="2020-01-23T18:46:14" u="1"/>
        <d v="2020-01-23T17:30:10" u="1"/>
        <d v="2020-01-13T16:13:41" u="1"/>
        <d v="2020-01-24T17:19:22" u="1"/>
        <d v="2020-01-06T09:24:21" u="1"/>
        <d v="2019-10-18T17:55:59" u="1"/>
        <d v="2020-01-23T14:35:23" u="1"/>
        <d v="2020-01-23T10:34:07" u="1"/>
        <d v="2020-01-23T14:03:15" u="1"/>
        <d v="2019-10-28T17:35:01" u="1"/>
        <d v="2019-10-15T17:19:45" u="1"/>
        <d v="2019-10-18T10:33:20" u="1"/>
        <d v="2020-01-17T15:32:30" u="1"/>
        <d v="2019-10-29T14:47:03" u="1"/>
        <d v="2019-10-29T16:35:00" u="1"/>
        <d v="2020-01-21T16:19:15" u="1"/>
        <d v="2020-01-08T17:35:06" u="1"/>
        <d v="2020-01-07T21:51:09" u="1"/>
        <d v="2020-01-13T16:07:04" u="1"/>
        <d v="2019-10-29T15:22:42" u="1"/>
        <d v="2020-01-09T11:44:23" u="1"/>
        <d v="2020-01-07T18:45:37" u="1"/>
        <d v="2020-01-09T15:48:24" u="1"/>
        <d v="2019-11-05T16:49:13" u="1"/>
        <d v="2020-01-07T16:43:05" u="1"/>
        <d v="2020-01-08T17:34:49" u="1"/>
        <d v="2020-01-02T13:26:41" u="1"/>
        <d v="2020-01-03T09:40:14" u="1"/>
        <d v="2020-01-13T15:55:12" u="1"/>
        <d v="2020-01-08T20:29:32" u="1"/>
        <d v="2020-01-07T17:00:08" u="1"/>
        <d v="2020-01-22T15:29:44" u="1"/>
        <d v="2020-01-23T10:32:30" u="1"/>
        <d v="2020-01-07T16:57:36" u="1"/>
        <d v="2020-01-20T08:58:02" u="1"/>
        <d v="2019-10-21T16:29:16" u="1"/>
        <d v="2020-01-08T20:14:42" u="1"/>
        <d v="2020-01-08T20:41:33" u="1"/>
        <d v="2019-11-01T15:26:15" u="1"/>
        <d v="2019-11-01T15:41:03" u="1"/>
        <d v="2020-01-21T16:21:39" u="1"/>
        <d v="2020-01-02T22:00:01" u="1"/>
        <d v="2019-10-31T15:28:08" u="1"/>
        <d v="2020-01-15T15:36:21" u="1"/>
        <d v="2019-10-14T19:38:25" u="1"/>
        <d v="2019-10-15T17:18:21" u="1"/>
        <d v="2020-01-23T17:00:20" u="1"/>
        <d v="2019-10-18T16:36:58" u="1"/>
        <d v="2019-10-31T15:41:25" u="1"/>
        <d v="2020-01-02T16:04:00" u="1"/>
        <d v="2019-10-18T16:07:35" u="1"/>
        <d v="2020-01-13T15:40:18" u="1"/>
        <d v="2019-10-24T15:40:02" u="1"/>
        <d v="2020-01-09T19:48:16" u="1"/>
        <d v="2020-01-14T15:31:01" u="1"/>
        <d v="2019-10-16T16:05:01" u="1"/>
        <d v="2020-01-21T15:30:53" u="1"/>
        <d v="2019-11-04T18:41:02" u="1"/>
        <d v="2020-01-16T09:20:14" u="1"/>
        <d v="2019-10-22T18:29:11" u="1"/>
        <d v="2020-01-23T17:04:17" u="1"/>
        <d v="2020-01-07T20:10:34" u="1"/>
        <d v="2019-10-18T11:51:42" u="1"/>
        <d v="2020-01-08T20:36:10" u="1"/>
        <d v="2020-01-22T18:10:47" u="1"/>
        <d v="2020-01-09T15:34:40" u="1"/>
        <d v="2020-01-23T11:00:14" u="1"/>
        <d v="2020-01-08T20:45:26" u="1"/>
        <d v="2020-01-08T17:12:02" u="1"/>
        <d v="2020-01-07T19:55:57" u="1"/>
        <d v="2020-01-09T10:42:40" u="1"/>
        <d v="2020-01-22T15:48:23" u="1"/>
        <d v="2019-10-29T16:13:10" u="1"/>
        <d v="2020-01-02T15:48:03" u="1"/>
        <d v="2020-01-08T15:59:57" u="1"/>
        <d v="2020-01-13T16:19:52" u="1"/>
        <d v="2020-01-09T15:46:39" u="1"/>
        <d v="2020-01-02T16:15:40" u="1"/>
        <d v="2020-01-23T19:35:03" u="1"/>
        <d v="2020-01-09T16:03:42" u="1"/>
        <d v="2020-01-09T15:36:03" u="1"/>
        <d v="2020-01-23T17:25:28" u="1"/>
        <d v="2020-01-09T16:02:24" u="1"/>
        <d v="2020-01-14T15:32:05" u="1"/>
        <d v="2020-01-13T16:16:00" u="1"/>
        <d v="2019-10-18T16:05:52" u="1"/>
        <d v="2020-01-08T17:28:59" u="1"/>
        <d v="2019-10-29T16:07:32" u="1"/>
        <d v="2020-01-07T16:31:43" u="1"/>
        <d v="2020-01-07T17:00:51" u="1"/>
        <d v="2020-01-22T12:01:19" u="1"/>
        <d v="2020-01-23T14:24:10" u="1"/>
        <d v="2020-01-21T16:00:02" u="1"/>
        <d v="2020-01-21T16:35:56" u="1"/>
        <d v="2020-01-23T14:26:40" u="1"/>
        <d v="2020-01-22T17:57:31" u="1"/>
        <d v="2020-01-23T17:18:38" u="1"/>
        <d v="2019-11-01T18:47:16" u="1"/>
        <d v="2019-10-15T17:14:02" u="1"/>
        <d v="2019-10-16T16:06:01" u="1"/>
        <d v="2019-11-01T16:58:03" u="1"/>
        <d v="2020-01-23T17:54:45" u="1"/>
        <d v="2020-01-02T16:13:00" u="1"/>
        <d v="2019-10-15T09:31:20" u="1"/>
        <d v="2020-01-07T18:47:43" u="1"/>
        <d v="2020-01-23T16:05:17" u="1"/>
        <d v="2020-01-14T15:33:15" u="1"/>
        <d v="2020-01-07T15:37:09" u="1"/>
        <d v="2020-01-20T09:00:58" u="1"/>
        <d v="2020-01-08T16:13:04" u="1"/>
        <d v="2020-01-06T16:17:03" u="1"/>
        <d v="2020-01-07T18:56:59" u="1"/>
        <d v="2019-10-31T14:53:08" u="1"/>
        <d v="2020-01-22T15:36:06" u="1"/>
        <d v="2019-11-01T19:28:23" u="1"/>
        <d v="2020-01-22T12:25:17" u="1"/>
        <d v="2019-10-28T15:57:04" u="1"/>
        <d v="2020-01-08T15:58:27" u="1"/>
        <d v="2020-01-02T15:47:34" u="1"/>
        <d v="2020-01-23T11:05:13" u="1"/>
        <d v="2020-01-21T15:40:04" u="1"/>
        <d v="2019-10-23T16:41:56" u="1"/>
        <d v="2020-01-07T20:26:18" u="1"/>
        <d v="2020-01-13T16:05:03" u="1"/>
        <d v="2019-10-18T17:56:39" u="1"/>
        <d v="2019-10-28T16:58:18" u="1"/>
        <d v="2020-01-16T15:53:16" u="1"/>
        <d v="2020-01-23T10:24:00" u="1"/>
        <d v="2020-01-23T15:44:05" u="1"/>
        <d v="2019-10-28T16:02:04" u="1"/>
        <d v="2020-01-22T17:09:11" u="1"/>
        <d v="2020-01-09T15:45:07" u="1"/>
        <d v="2020-01-07T16:53:07" u="1"/>
        <d v="2020-01-07T15:33:02" u="1"/>
        <d v="2020-01-20T09:26:27" u="1"/>
        <d v="2020-01-22T15:42:33" u="1"/>
        <d v="2020-01-23T19:23:45" u="1"/>
        <d v="2020-01-07T17:28:46" u="1"/>
        <d v="2020-01-07T16:47:35" u="1"/>
        <d v="2020-01-02T15:51:31" u="1"/>
        <d v="2020-01-07T16:23:29" u="1"/>
        <d v="2020-01-21T16:09:08" u="1"/>
        <d v="2020-01-08T20:37:02" u="1"/>
        <d v="2020-01-17T21:40:57" u="1"/>
        <d v="2020-01-23T14:30:29" u="1"/>
        <d v="2020-01-21T16:07:37" u="1"/>
        <d v="2019-10-16T16:07:05" u="1"/>
        <d v="2020-01-06T15:57:03" u="1"/>
        <d v="2020-01-03T09:29:54" u="1"/>
        <d v="2020-01-06T16:06:06" u="1"/>
        <d v="2019-11-04T18:03:57" u="1"/>
        <d v="2020-01-22T15:26:25" u="1"/>
        <d v="2020-01-21T16:21:07" u="1"/>
        <d v="2020-01-06T16:10:05" u="1"/>
        <d v="2019-10-14T19:30:52" u="1"/>
        <d v="2020-01-14T15:57:07" u="1"/>
        <d v="2020-01-22T12:44:57" u="1"/>
        <d v="2020-01-07T16:45:58" u="1"/>
        <d v="2020-01-07T18:33:55" u="1"/>
        <d v="2019-10-17T13:48:26" u="1"/>
        <d v="2020-01-08T20:29:55" u="1"/>
        <d v="2019-10-29T15:00:26" u="1"/>
        <d v="2019-10-16T15:59:12" u="1"/>
        <d v="2020-01-09T15:35:26" u="1"/>
        <d v="2019-10-28T16:34:02" u="1"/>
        <d v="2019-10-28T16:10:57" u="1"/>
        <d v="2020-01-08T16:05:47" u="1"/>
        <d v="2020-01-23T17:45:09" u="1"/>
        <d v="2020-01-23T17:47:39" u="1"/>
        <d v="2020-01-15T15:36:44" u="1"/>
        <d v="2020-01-02T15:45:49" u="1"/>
        <d v="2020-01-16T15:31:28" u="1"/>
        <d v="2019-10-17T14:01:26" u="1"/>
        <d v="2020-01-22T17:07:28" u="1"/>
        <d v="2020-01-09T14:43:24" u="1"/>
        <d v="2020-01-23T18:57:10" u="1"/>
        <d v="2020-01-07T21:00:27" u="1"/>
        <d v="2020-01-03T09:41:47" u="1"/>
        <d v="2020-01-20T13:14:10" u="1"/>
        <d v="2020-01-21T15:33:00" u="1"/>
        <d v="2019-10-29T16:18:54" u="1"/>
        <d v="2020-01-22T12:36:47" u="1"/>
        <d v="2020-01-02T13:46:00" u="1"/>
        <d v="2020-01-20T21:02:07" u="1"/>
        <d v="2020-01-08T20:03:11" u="1"/>
        <d v="2019-10-21T16:37:35" u="1"/>
        <d v="2020-01-22T18:00:38" u="1"/>
        <d v="2020-01-13T16:20:34" u="1"/>
        <d v="2019-10-22T18:28:18" u="1"/>
        <d v="2020-01-22T12:18:11" u="1"/>
        <d v="2020-01-06T16:32:30" u="1"/>
        <d v="2020-01-08T16:16:28" u="1"/>
        <d v="2020-01-13T15:46:09" u="1"/>
        <d v="2020-01-07T16:34:00" u="1"/>
        <d v="2019-11-01T18:35:48" u="1"/>
        <d v="2020-01-23T17:26:12" u="1"/>
        <d v="2019-11-04T20:25:17" u="1"/>
        <d v="2020-01-07T18:37:44" u="1"/>
        <d v="2020-01-16T09:11:15" u="1"/>
        <d v="2020-01-23T17:10:06" u="1"/>
        <d v="2019-10-23T16:04:07" u="1"/>
        <d v="2019-11-01T16:45:15" u="1"/>
        <d v="2020-01-23T19:02:02" u="1"/>
        <d v="2020-01-22T18:13:49" u="1"/>
        <d v="2020-01-17T12:08:27" u="1"/>
        <d v="2020-01-23T14:30:07" u="1"/>
        <d v="2020-01-23T15:57:59" u="1"/>
        <d v="2020-01-09T14:03:02" u="1"/>
        <d v="2020-01-06T16:15:02" u="1"/>
        <d v="2020-01-08T16:03:01" u="1"/>
        <d v="2020-01-07T16:03:00" u="1"/>
        <d v="2020-01-15T15:37:46" u="1"/>
        <d v="2019-10-18T17:57:27" u="1"/>
        <d v="2019-10-17T14:09:14" u="1"/>
        <d v="2020-01-09T16:01:31" u="1"/>
        <d v="2020-01-23T17:34:06" u="1"/>
        <d v="2019-11-04T18:45:14" u="1"/>
        <d v="2020-01-07T16:04:14" u="1"/>
        <d v="2019-11-08T17:28:59" u="1"/>
        <d v="2020-01-15T15:33:43" u="1"/>
        <d v="2019-10-21T16:52:11" u="1"/>
        <d v="2020-01-23T11:03:12" u="1"/>
        <d v="2020-01-23T15:38:05" u="1"/>
      </sharedItems>
    </cacheField>
    <cacheField name="Position" numFmtId="164">
      <sharedItems containsString="0" containsBlank="1" containsNumber="1" containsInteger="1" minValue="259349734" maxValue="260390997"/>
    </cacheField>
    <cacheField name="Symbole" numFmtId="0">
      <sharedItems containsBlank="1"/>
    </cacheField>
    <cacheField name="Type" numFmtId="0">
      <sharedItems containsBlank="1"/>
    </cacheField>
    <cacheField name="Volume" numFmtId="0">
      <sharedItems containsString="0" containsBlank="1" containsNumber="1" minValue="0.4" maxValue="0.5"/>
    </cacheField>
    <cacheField name="Lvl Entrée" numFmtId="165">
      <sharedItems containsString="0" containsBlank="1" containsNumber="1" minValue="28372.38" maxValue="29524.81"/>
    </cacheField>
    <cacheField name="S / L" numFmtId="165">
      <sharedItems containsString="0" containsBlank="1" containsNumber="1" minValue="28370.880000000001" maxValue="29523.31"/>
    </cacheField>
    <cacheField name="T / P" numFmtId="165">
      <sharedItems containsString="0" containsBlank="1" containsNumber="1" minValue="28232.38" maxValue="29597.71"/>
    </cacheField>
    <cacheField name="Horodatage cloture" numFmtId="22">
      <sharedItems containsSemiMixedTypes="0" containsNonDate="0" containsDate="1" containsString="0" minDate="2020-02-03T09:43:00" maxDate="2020-02-21T08:42:56"/>
    </cacheField>
    <cacheField name="Lvl Sortie" numFmtId="165">
      <sharedItems containsString="0" containsBlank="1" containsNumber="1" minValue="28371.46" maxValue="29524.22"/>
    </cacheField>
    <cacheField name="Commission" numFmtId="165">
      <sharedItems containsString="0" containsBlank="1" containsNumber="1" containsInteger="1" minValue="0" maxValue="0"/>
    </cacheField>
    <cacheField name="Echange" numFmtId="165">
      <sharedItems containsString="0" containsBlank="1" containsNumber="1" minValue="-3.69" maxValue="0"/>
    </cacheField>
    <cacheField name="Profit" numFmtId="166">
      <sharedItems containsString="0" containsBlank="1" containsNumber="1" minValue="-5.54" maxValue="90.92"/>
    </cacheField>
    <cacheField name="Trade n°" numFmtId="0">
      <sharedItems containsMixedTypes="1" containsNumber="1" containsInteger="1" minValue="1" maxValue="158"/>
    </cacheField>
    <cacheField name="Cumul profit" numFmtId="166">
      <sharedItems containsSemiMixedTypes="0" containsString="0" containsNumber="1" minValue="-224.98999999999998" maxValue="52.840000000000025"/>
    </cacheField>
    <cacheField name="Cumul équité" numFmtId="166">
      <sharedItems containsSemiMixedTypes="0" containsString="0" containsNumber="1" minValue="775.01" maxValue="1052.8399999999999"/>
    </cacheField>
    <cacheField name="Date" numFmtId="14">
      <sharedItems containsSemiMixedTypes="0" containsNonDate="0" containsDate="1" containsString="0" minDate="1899-12-30T00:00:00" maxDate="2020-02-22T00:00:00" count="51">
        <d v="2020-02-03T00:00:00"/>
        <d v="2020-02-04T00:00:00"/>
        <d v="2020-02-05T00:00:00"/>
        <d v="2020-02-06T00:00:00"/>
        <d v="2020-02-07T00:00:00"/>
        <d v="2020-02-10T00:00:00"/>
        <d v="2020-02-11T00:00:00"/>
        <d v="2020-02-12T00:00:00"/>
        <d v="2020-02-13T00:00:00"/>
        <d v="2020-02-14T00:00:00"/>
        <d v="2020-02-17T00:00:00"/>
        <d v="2020-02-18T00:00:00"/>
        <d v="2020-02-19T00:00:00"/>
        <d v="2020-02-20T00:00:00"/>
        <d v="2020-02-21T00:00:00"/>
        <d v="2019-10-25T00:00:00" u="1"/>
        <d v="2019-11-04T00:00:00" u="1"/>
        <d v="2019-10-18T00:00:00" u="1"/>
        <d v="2020-01-23T00:00:00" u="1"/>
        <d v="2020-01-16T00:00:00" u="1"/>
        <d v="2019-10-30T00:00:00" u="1"/>
        <d v="2020-01-09T00:00:00" u="1"/>
        <d v="2019-10-23T00:00:00" u="1"/>
        <d v="2020-01-02T00:00:00" u="1"/>
        <d v="2019-10-16T00:00:00" u="1"/>
        <d v="2020-01-21T00:00:00" u="1"/>
        <d v="2020-01-14T00:00:00" u="1"/>
        <d v="2019-10-28T00:00:00" u="1"/>
        <d v="2020-01-07T00:00:00" u="1"/>
        <d v="2019-10-21T00:00:00" u="1"/>
        <d v="2019-10-14T00:00:00" u="1"/>
        <d v="2019-11-05T00:00:00" u="1"/>
        <d v="2020-01-24T00:00:00" u="1"/>
        <d v="2020-01-17T00:00:00" u="1"/>
        <d v="2019-10-31T00:00:00" u="1"/>
        <d v="2019-10-24T00:00:00" u="1"/>
        <d v="2020-01-03T00:00:00" u="1"/>
        <d v="2019-10-17T00:00:00" u="1"/>
        <d v="2020-01-22T00:00:00" u="1"/>
        <d v="1899-12-30T00:00:00" u="1"/>
        <d v="2020-01-15T00:00:00" u="1"/>
        <d v="2019-10-29T00:00:00" u="1"/>
        <d v="2019-11-08T00:00:00" u="1"/>
        <d v="2020-01-08T00:00:00" u="1"/>
        <d v="2019-10-22T00:00:00" u="1"/>
        <d v="2019-11-01T00:00:00" u="1"/>
        <d v="2019-10-15T00:00:00" u="1"/>
        <d v="2020-01-20T00:00:00" u="1"/>
        <d v="2020-01-13T00:00:00" u="1"/>
        <d v="2019-11-06T00:00:00" u="1"/>
        <d v="2020-01-06T00:00:00" u="1"/>
      </sharedItems>
    </cacheField>
    <cacheField name="N° de semaine" numFmtId="0">
      <sharedItems containsSemiMixedTypes="0" containsString="0" containsNumber="1" containsInteger="1" minValue="6" maxValue="8"/>
    </cacheField>
    <cacheField name="Jour" numFmtId="174">
      <sharedItems containsSemiMixedTypes="0" containsNonDate="0" containsDate="1" containsString="0" minDate="1900-01-01T00:00:00" maxDate="1900-01-06T00:00:00"/>
    </cacheField>
    <cacheField name="Heure" numFmtId="175">
      <sharedItems containsSemiMixedTypes="0" containsString="0" containsNumber="1" containsInteger="1" minValue="8" maxValue="23"/>
    </cacheField>
    <cacheField name="Nb de séance de trading" numFmtId="0">
      <sharedItems containsMixedTypes="1" containsNumber="1" containsInteger="1" minValue="0" maxValue="1"/>
    </cacheField>
    <cacheField name="Nb de trade du jour" numFmtId="0">
      <sharedItems containsMixedTypes="1" containsNumber="1" containsInteger="1" minValue="1" maxValue="26"/>
    </cacheField>
    <cacheField name="Ecart du SL" numFmtId="167">
      <sharedItems containsMixedTypes="1" containsNumber="1" minValue="-35" maxValue="11.1"/>
    </cacheField>
    <cacheField name="Ecart du TP" numFmtId="167">
      <sharedItems containsMixedTypes="1" containsNumber="1" minValue="0" maxValue="560"/>
    </cacheField>
    <cacheField name="RR Avant Trade" numFmtId="0">
      <sharedItems containsMixedTypes="1" containsNumber="1" minValue="0" maxValue="56"/>
    </cacheField>
    <cacheField name="RR Réel" numFmtId="0">
      <sharedItems containsMixedTypes="1" containsNumber="1" minValue="-1.2" maxValue="18.2"/>
    </cacheField>
    <cacheField name="Equité avant trade" numFmtId="166">
      <sharedItems containsSemiMixedTypes="0" containsString="0" containsNumber="1" minValue="775.0100000000001" maxValue="1052.8399999999999"/>
    </cacheField>
    <cacheField name="Equité après trade" numFmtId="166">
      <sharedItems containsSemiMixedTypes="0" containsString="0" containsNumber="1" minValue="775.01" maxValue="1052.8399999999999"/>
    </cacheField>
    <cacheField name="Heure premiere valeur" numFmtId="22">
      <sharedItems containsDate="1" containsMixedTypes="1" minDate="2020-02-03T09:41:34" maxDate="2020-02-21T08:34:36"/>
    </cacheField>
    <cacheField name="Equité début de journée" numFmtId="166">
      <sharedItems containsSemiMixedTypes="0" containsString="0" containsNumber="1" minValue="775.0100000000001" maxValue="1047.8899999999999"/>
    </cacheField>
    <cacheField name="Valeur début de journée unique" numFmtId="166">
      <sharedItems containsSemiMixedTypes="0" containsString="0" containsNumber="1" minValue="0" maxValue="1047.8899999999999"/>
    </cacheField>
    <cacheField name="Heure derniere valeur" numFmtId="22">
      <sharedItems containsDate="1" containsMixedTypes="1" minDate="2020-02-03T16:08:49" maxDate="2020-02-21T08:34:36"/>
    </cacheField>
    <cacheField name="Equité fin de journée" numFmtId="166">
      <sharedItems containsSemiMixedTypes="0" containsString="0" containsNumber="1" minValue="775.01" maxValue="1047.8900000000001"/>
    </cacheField>
    <cacheField name="Valeur fin de journée unique" numFmtId="166">
      <sharedItems containsSemiMixedTypes="0" containsString="0" containsNumber="1" minValue="0" maxValue="1047.8900000000001"/>
    </cacheField>
    <cacheField name="Equité fin de journée graphique" numFmtId="166">
      <sharedItems containsMixedTypes="1" containsNumber="1" minValue="775.01" maxValue="1047.8900000000001"/>
    </cacheField>
    <cacheField name="Variation" numFmtId="10">
      <sharedItems containsMixedTypes="1" containsNumber="1" minValue="-5.8253143088891459E-3" maxValue="9.8110520011654087E-2"/>
    </cacheField>
    <cacheField name="variation de la journée" numFmtId="10">
      <sharedItems containsMixedTypes="1" containsNumber="1" minValue="-0.10697701215647869" maxValue="5.4618650081934325E-2"/>
    </cacheField>
    <cacheField name="Sommet Drawdown" numFmtId="166">
      <sharedItems containsMixedTypes="1" containsNumber="1" minValue="832.11" maxValue="1052.8399999999999"/>
    </cacheField>
    <cacheField name="Creux Drawdown" numFmtId="166">
      <sharedItems containsMixedTypes="1" containsNumber="1" minValue="775.01" maxValue="1048.24"/>
    </cacheField>
    <cacheField name="Drawdown" numFmtId="179">
      <sharedItems containsMixedTypes="1" containsNumber="1" minValue="-0.26388625052239656" maxValue="0"/>
    </cacheField>
    <cacheField name="Points" numFmtId="167">
      <sharedItems containsMixedTypes="1" containsNumber="1" minValue="-12.1" maxValue="200"/>
    </cacheField>
    <cacheField name="Points Gagnant" numFmtId="167">
      <sharedItems containsMixedTypes="1" containsNumber="1" minValue="0.6" maxValue="200"/>
    </cacheField>
    <cacheField name="Points perdants" numFmtId="167">
      <sharedItems containsMixedTypes="1" containsNumber="1" minValue="-12.1" maxValue="-1"/>
    </cacheField>
    <cacheField name="Evolution des points" numFmtId="167">
      <sharedItems containsSemiMixedTypes="0" containsString="0" containsNumber="1" minValue="-497.40000000000015" maxValue="115.60000000000001"/>
    </cacheField>
    <cacheField name="Conforme" numFmtId="0">
      <sharedItems containsMixedTypes="1" containsNumber="1" containsInteger="1" minValue="0" maxValue="1"/>
    </cacheField>
    <cacheField name="Non conforme" numFmtId="0">
      <sharedItems containsMixedTypes="1" containsNumber="1" containsInteger="1" minValue="0" maxValue="1"/>
    </cacheField>
    <cacheField name="Conformité" numFmtId="0">
      <sharedItems containsBlank="1"/>
    </cacheField>
    <cacheField name="Type de trade" numFmtId="0">
      <sharedItems containsBlank="1"/>
    </cacheField>
    <cacheField name="Configuration" numFmtId="0">
      <sharedItems containsBlank="1"/>
    </cacheField>
    <cacheField name="Conviction" numFmtId="0">
      <sharedItems containsString="0" containsBlank="1" containsNumber="1" containsInteger="1" minValue="0" maxValue="1"/>
    </cacheField>
    <cacheField name="Timing" numFmtId="0">
      <sharedItems containsString="0" containsBlank="1" containsNumber="1" containsInteger="1" minValue="0" maxValue="1"/>
    </cacheField>
    <cacheField name="Sortie" numFmtId="0">
      <sharedItems containsString="0" containsBlank="1" containsNumber="1" containsInteger="1" minValue="0" maxValue="1"/>
    </cacheField>
    <cacheField name="SW" numFmtId="0">
      <sharedItems/>
    </cacheField>
    <cacheField name="BE" numFmtId="0">
      <sharedItems/>
    </cacheField>
    <cacheField name="TP Théorique atteint" numFmtId="0">
      <sharedItems/>
    </cacheField>
    <cacheField name="EUR/USD" numFmtId="178">
      <sharedItems containsSemiMixedTypes="0" containsString="0" containsNumber="1" minValue="1.079" maxValue="1.1066"/>
    </cacheField>
    <cacheField name="Levier" numFmtId="168">
      <sharedItems containsMixedTypes="1" containsNumber="1" minValue="12.614796581298728" maxValue="16.679755155316922"/>
    </cacheField>
    <cacheField name="Note du trade" numFmtId="0">
      <sharedItems containsMixedTypes="1" containsNumber="1" containsInteger="1" minValue="0" maxValue="10"/>
    </cacheField>
    <cacheField name="Note du résultat" numFmtId="0">
      <sharedItems/>
    </cacheField>
    <cacheField name="Résultat" numFmtId="0">
      <sharedItems/>
    </cacheField>
    <cacheField name="Gagnant" numFmtId="0">
      <sharedItems containsMixedTypes="1" containsNumber="1" containsInteger="1" minValue="0" maxValue="1"/>
    </cacheField>
    <cacheField name="Perdant" numFmtId="0">
      <sharedItems containsMixedTypes="1" containsNumber="1" containsInteger="1" minValue="0" maxValue="1"/>
    </cacheField>
    <cacheField name="NES" numFmtId="0">
      <sharedItems containsString="0" containsBlank="1" containsNumber="1" minValue="29013.53" maxValue="29270.97"/>
    </cacheField>
    <cacheField name="Sortie Prévue" numFmtId="165">
      <sharedItems containsMixedTypes="1" containsNumber="1" minValue="28232.38" maxValue="29597.71"/>
    </cacheField>
    <cacheField name="Commentaire avant trade" numFmtId="0">
      <sharedItems containsBlank="1"/>
    </cacheField>
    <cacheField name="Psycho avant trade" numFmtId="0">
      <sharedItems containsBlank="1"/>
    </cacheField>
    <cacheField name="Tendance repérée avant trade" numFmtId="0">
      <sharedItems containsBlank="1"/>
    </cacheField>
    <cacheField name="Commentaire aprés trade" numFmtId="0">
      <sharedItems containsBlank="1"/>
    </cacheField>
    <cacheField name="Version du plan" numFmtId="0">
      <sharedItems containsBlank="1"/>
    </cacheField>
    <cacheField name="Points+" numFmtId="0" formula="IF(Points&gt;0,Points,0)" databaseField="0"/>
    <cacheField name="Points-" numFmtId="0" formula="IF(Points&lt;0,Points,0)" databaseField="0"/>
    <cacheField name="VariationJour" numFmtId="0" formula="('Equité après trade'-'Equité avant trade')/'Equité avant trade'" databaseField="0"/>
    <cacheField name="Variationjour+" numFmtId="0" formula="IF(VariationJour&gt;0,VariationJour,0)" databaseField="0"/>
    <cacheField name="Variationjour-" numFmtId="0" formula="IF(VariationJour&lt;0,VariationJour,0)" databaseField="0"/>
  </cacheFields>
  <extLst>
    <ext xmlns:x14="http://schemas.microsoft.com/office/spreadsheetml/2009/9/main" uri="{725AE2AE-9491-48be-B2B4-4EB974FC3084}">
      <x14:pivotCacheDefinition pivotCacheId="1996785163"/>
    </ext>
  </extLst>
</pivotCacheDefinition>
</file>

<file path=xl/pivotCache/pivotCacheDefinition2.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OnLoad="1" refreshedBy="Gaëtan" refreshedDate="43882.445504282405" createdVersion="6" refreshedVersion="6" minRefreshableVersion="3" recordCount="158" xr:uid="{8D4F02D5-8077-4C53-83A9-B502441D6FFB}">
  <cacheSource type="worksheet">
    <worksheetSource name="Table_BDD"/>
  </cacheSource>
  <cacheFields count="80">
    <cacheField name="Horodatage ouverture" numFmtId="22">
      <sharedItems containsSemiMixedTypes="0" containsNonDate="0" containsDate="1" containsString="0" minDate="2020-02-03T09:41:34" maxDate="2020-02-21T08:34:36" count="158">
        <d v="2020-02-03T09:41:34"/>
        <d v="2020-02-03T15:49:31"/>
        <d v="2020-02-03T15:50:43"/>
        <d v="2020-02-03T16:08:24"/>
        <d v="2020-02-03T16:08:49"/>
        <d v="2020-02-04T15:29:51"/>
        <d v="2020-02-04T15:36:05"/>
        <d v="2020-02-04T15:36:21"/>
        <d v="2020-02-04T15:36:30"/>
        <d v="2020-02-04T15:37:27"/>
        <d v="2020-02-04T15:40:03"/>
        <d v="2020-02-04T17:12:40"/>
        <d v="2020-02-04T17:27:00"/>
        <d v="2020-02-04T17:29:55"/>
        <d v="2020-02-04T17:31:32"/>
        <d v="2020-02-04T17:32:08"/>
        <d v="2020-02-04T17:44:21"/>
        <d v="2020-02-04T17:47:02"/>
        <d v="2020-02-04T17:48:46"/>
        <d v="2020-02-04T18:05:59"/>
        <d v="2020-02-04T18:07:39"/>
        <d v="2020-02-04T18:12:19"/>
        <d v="2020-02-04T18:24:48"/>
        <d v="2020-02-04T20:11:52"/>
        <d v="2020-02-05T16:01:54"/>
        <d v="2020-02-05T16:02:34"/>
        <d v="2020-02-05T16:03:39"/>
        <d v="2020-02-05T16:04:06"/>
        <d v="2020-02-05T16:04:31"/>
        <d v="2020-02-05T16:08:15"/>
        <d v="2020-02-05T16:09:58"/>
        <d v="2020-02-05T16:10:39"/>
        <d v="2020-02-05T16:15:04"/>
        <d v="2020-02-05T16:15:45"/>
        <d v="2020-02-05T16:16:01"/>
        <d v="2020-02-05T16:26:49"/>
        <d v="2020-02-05T16:27:04"/>
        <d v="2020-02-05T16:27:28"/>
        <d v="2020-02-05T16:29:36"/>
        <d v="2020-02-05T16:30:15"/>
        <d v="2020-02-05T16:36:18"/>
        <d v="2020-02-05T16:40:50"/>
        <d v="2020-02-05T16:41:20"/>
        <d v="2020-02-05T16:42:05"/>
        <d v="2020-02-06T15:31:13"/>
        <d v="2020-02-06T15:32:59"/>
        <d v="2020-02-06T15:33:18"/>
        <d v="2020-02-06T15:34:22"/>
        <d v="2020-02-06T15:37:31"/>
        <d v="2020-02-06T15:40:46"/>
        <d v="2020-02-06T15:42:00"/>
        <d v="2020-02-06T15:47:32"/>
        <d v="2020-02-06T15:50:24"/>
        <d v="2020-02-06T15:51:15"/>
        <d v="2020-02-06T15:51:26"/>
        <d v="2020-02-06T21:07:54"/>
        <d v="2020-02-07T11:13:37"/>
        <d v="2020-02-07T11:17:06"/>
        <d v="2020-02-07T14:37:05"/>
        <d v="2020-02-10T15:03:54"/>
        <d v="2020-02-10T15:08:03"/>
        <d v="2020-02-10T15:39:47"/>
        <d v="2020-02-10T15:40:47"/>
        <d v="2020-02-10T15:42:11"/>
        <d v="2020-02-10T15:57:26"/>
        <d v="2020-02-10T16:03:00"/>
        <d v="2020-02-10T16:04:04"/>
        <d v="2020-02-10T16:05:13"/>
        <d v="2020-02-10T16:09:37"/>
        <d v="2020-02-10T16:12:46"/>
        <d v="2020-02-10T16:19:14"/>
        <d v="2020-02-10T16:37:39"/>
        <d v="2020-02-10T16:49:18"/>
        <d v="2020-02-10T21:29:54"/>
        <d v="2020-02-10T21:53:23"/>
        <d v="2020-02-10T21:53:54"/>
        <d v="2020-02-10T21:55:00"/>
        <d v="2020-02-10T21:56:32"/>
        <d v="2020-02-11T15:31:39"/>
        <d v="2020-02-11T15:33:13"/>
        <d v="2020-02-11T15:34:18"/>
        <d v="2020-02-11T15:35:02"/>
        <d v="2020-02-11T15:36:31"/>
        <d v="2020-02-11T15:37:27"/>
        <d v="2020-02-11T17:34:56"/>
        <d v="2020-02-11T17:36:06"/>
        <d v="2020-02-11T17:37:30"/>
        <d v="2020-02-11T20:22:18"/>
        <d v="2020-02-11T20:25:38"/>
        <d v="2020-02-11T21:04:48"/>
        <d v="2020-02-11T21:09:09"/>
        <d v="2020-02-11T21:10:14"/>
        <d v="2020-02-12T11:29:10"/>
        <d v="2020-02-12T11:36:05"/>
        <d v="2020-02-12T16:22:21"/>
        <d v="2020-02-12T16:23:42"/>
        <d v="2020-02-12T16:24:08"/>
        <d v="2020-02-12T16:31:44"/>
        <d v="2020-02-13T15:37:15"/>
        <d v="2020-02-13T15:47:00"/>
        <d v="2020-02-13T15:48:04"/>
        <d v="2020-02-13T15:58:07"/>
        <d v="2020-02-13T16:16:02"/>
        <d v="2020-02-13T16:18:00"/>
        <d v="2020-02-13T16:20:05"/>
        <d v="2020-02-13T16:25:14"/>
        <d v="2020-02-13T16:27:06"/>
        <d v="2020-02-13T16:50:16"/>
        <d v="2020-02-13T16:50:34"/>
        <d v="2020-02-13T16:51:56"/>
        <d v="2020-02-13T16:53:00"/>
        <d v="2020-02-13T16:59:18"/>
        <d v="2020-02-13T17:06:50"/>
        <d v="2020-02-13T17:25:24"/>
        <d v="2020-02-13T17:28:09"/>
        <d v="2020-02-13T17:32:37"/>
        <d v="2020-02-13T18:18:48"/>
        <d v="2020-02-14T09:23:01"/>
        <d v="2020-02-14T10:00:00"/>
        <d v="2020-02-14T10:01:59"/>
        <d v="2020-02-14T10:07:12"/>
        <d v="2020-02-14T10:21:08"/>
        <d v="2020-02-14T11:01:36"/>
        <d v="2020-02-14T15:37:16"/>
        <d v="2020-02-14T15:38:34"/>
        <d v="2020-02-14T15:56:46"/>
        <d v="2020-02-14T16:12:02"/>
        <d v="2020-02-14T16:13:14"/>
        <d v="2020-02-14T16:16:33"/>
        <d v="2020-02-14T16:52:20"/>
        <d v="2020-02-14T16:56:23"/>
        <d v="2020-02-14T17:00:43"/>
        <d v="2020-02-14T17:06:43"/>
        <d v="2020-02-14T17:11:09"/>
        <d v="2020-02-14T17:52:18"/>
        <d v="2020-02-14T17:54:43"/>
        <d v="2020-02-14T18:08:12"/>
        <d v="2020-02-14T18:16:40"/>
        <d v="2020-02-14T18:35:49"/>
        <d v="2020-02-14T18:44:06"/>
        <d v="2020-02-14T18:48:38"/>
        <d v="2020-02-14T19:19:49"/>
        <d v="2020-02-14T19:53:47"/>
        <d v="2020-02-14T21:38:27"/>
        <d v="2020-02-17T10:08:13"/>
        <d v="2020-02-18T16:07:09"/>
        <d v="2020-02-18T16:35:03"/>
        <d v="2020-02-18T16:38:53"/>
        <d v="2020-02-18T17:28:21"/>
        <d v="2020-02-18T17:28:29"/>
        <d v="2020-02-18T17:40:25"/>
        <d v="2020-02-18T17:50:29"/>
        <d v="2020-02-18T17:56:36"/>
        <d v="2020-02-18T18:02:17"/>
        <d v="2020-02-19T00:00:00"/>
        <d v="2020-02-20T15:04:41"/>
        <d v="2020-02-20T18:10:14"/>
        <d v="2020-02-21T08:34:36"/>
      </sharedItems>
      <fieldGroup par="74" base="0">
        <rangePr groupBy="days" startDate="2020-02-03T09:41:34" endDate="2020-02-21T08:34:36"/>
        <groupItems count="368">
          <s v="&lt;03/02/2020"/>
          <s v="01-janv"/>
          <s v="02-janv"/>
          <s v="03-janv"/>
          <s v="04-janv"/>
          <s v="05-janv"/>
          <s v="06-janv"/>
          <s v="07-janv"/>
          <s v="08-janv"/>
          <s v="09-janv"/>
          <s v="10-janv"/>
          <s v="11-janv"/>
          <s v="12-janv"/>
          <s v="13-janv"/>
          <s v="14-janv"/>
          <s v="15-janv"/>
          <s v="16-janv"/>
          <s v="17-janv"/>
          <s v="18-janv"/>
          <s v="19-janv"/>
          <s v="20-janv"/>
          <s v="21-janv"/>
          <s v="22-janv"/>
          <s v="23-janv"/>
          <s v="24-janv"/>
          <s v="25-janv"/>
          <s v="26-janv"/>
          <s v="27-janv"/>
          <s v="28-janv"/>
          <s v="29-janv"/>
          <s v="30-janv"/>
          <s v="31-janv"/>
          <s v="01-févr"/>
          <s v="02-févr"/>
          <s v="03-févr"/>
          <s v="04-févr"/>
          <s v="05-févr"/>
          <s v="06-févr"/>
          <s v="07-févr"/>
          <s v="08-févr"/>
          <s v="09-févr"/>
          <s v="10-févr"/>
          <s v="11-févr"/>
          <s v="12-févr"/>
          <s v="13-févr"/>
          <s v="14-févr"/>
          <s v="15-févr"/>
          <s v="16-févr"/>
          <s v="17-févr"/>
          <s v="18-févr"/>
          <s v="19-févr"/>
          <s v="20-févr"/>
          <s v="21-févr"/>
          <s v="22-févr"/>
          <s v="23-févr"/>
          <s v="24-févr"/>
          <s v="25-févr"/>
          <s v="26-févr"/>
          <s v="27-févr"/>
          <s v="28-févr"/>
          <s v="29-févr"/>
          <s v="01-mars"/>
          <s v="02-mars"/>
          <s v="03-mars"/>
          <s v="04-mars"/>
          <s v="05-mars"/>
          <s v="06-mars"/>
          <s v="07-mars"/>
          <s v="08-mars"/>
          <s v="09-mars"/>
          <s v="10-mars"/>
          <s v="11-mars"/>
          <s v="12-mars"/>
          <s v="13-mars"/>
          <s v="14-mars"/>
          <s v="15-mars"/>
          <s v="16-mars"/>
          <s v="17-mars"/>
          <s v="18-mars"/>
          <s v="19-mars"/>
          <s v="20-mars"/>
          <s v="21-mars"/>
          <s v="22-mars"/>
          <s v="23-mars"/>
          <s v="24-mars"/>
          <s v="25-mars"/>
          <s v="26-mars"/>
          <s v="27-mars"/>
          <s v="28-mars"/>
          <s v="29-mars"/>
          <s v="30-mars"/>
          <s v="31-mars"/>
          <s v="01-avr"/>
          <s v="02-avr"/>
          <s v="03-avr"/>
          <s v="04-avr"/>
          <s v="05-avr"/>
          <s v="06-avr"/>
          <s v="07-avr"/>
          <s v="08-avr"/>
          <s v="09-avr"/>
          <s v="10-avr"/>
          <s v="11-avr"/>
          <s v="12-avr"/>
          <s v="13-avr"/>
          <s v="14-avr"/>
          <s v="15-avr"/>
          <s v="16-avr"/>
          <s v="17-avr"/>
          <s v="18-avr"/>
          <s v="19-avr"/>
          <s v="20-avr"/>
          <s v="21-avr"/>
          <s v="22-avr"/>
          <s v="23-avr"/>
          <s v="24-avr"/>
          <s v="25-avr"/>
          <s v="26-avr"/>
          <s v="27-avr"/>
          <s v="28-avr"/>
          <s v="29-avr"/>
          <s v="30-avr"/>
          <s v="01-mai"/>
          <s v="02-mai"/>
          <s v="03-mai"/>
          <s v="04-mai"/>
          <s v="05-mai"/>
          <s v="06-mai"/>
          <s v="07-mai"/>
          <s v="08-mai"/>
          <s v="09-mai"/>
          <s v="10-mai"/>
          <s v="11-mai"/>
          <s v="12-mai"/>
          <s v="13-mai"/>
          <s v="14-mai"/>
          <s v="15-mai"/>
          <s v="16-mai"/>
          <s v="17-mai"/>
          <s v="18-mai"/>
          <s v="19-mai"/>
          <s v="20-mai"/>
          <s v="21-mai"/>
          <s v="22-mai"/>
          <s v="23-mai"/>
          <s v="24-mai"/>
          <s v="25-mai"/>
          <s v="26-mai"/>
          <s v="27-mai"/>
          <s v="28-mai"/>
          <s v="29-mai"/>
          <s v="30-mai"/>
          <s v="31-mai"/>
          <s v="01-juin"/>
          <s v="02-juin"/>
          <s v="03-juin"/>
          <s v="04-juin"/>
          <s v="05-juin"/>
          <s v="06-juin"/>
          <s v="07-juin"/>
          <s v="08-juin"/>
          <s v="09-juin"/>
          <s v="10-juin"/>
          <s v="11-juin"/>
          <s v="12-juin"/>
          <s v="13-juin"/>
          <s v="14-juin"/>
          <s v="15-juin"/>
          <s v="16-juin"/>
          <s v="17-juin"/>
          <s v="18-juin"/>
          <s v="19-juin"/>
          <s v="20-juin"/>
          <s v="21-juin"/>
          <s v="22-juin"/>
          <s v="23-juin"/>
          <s v="24-juin"/>
          <s v="25-juin"/>
          <s v="26-juin"/>
          <s v="27-juin"/>
          <s v="28-juin"/>
          <s v="29-juin"/>
          <s v="30-juin"/>
          <s v="01-juil"/>
          <s v="02-juil"/>
          <s v="03-juil"/>
          <s v="04-juil"/>
          <s v="05-juil"/>
          <s v="06-juil"/>
          <s v="07-juil"/>
          <s v="08-juil"/>
          <s v="09-juil"/>
          <s v="10-juil"/>
          <s v="11-juil"/>
          <s v="12-juil"/>
          <s v="13-juil"/>
          <s v="14-juil"/>
          <s v="15-juil"/>
          <s v="16-juil"/>
          <s v="17-juil"/>
          <s v="18-juil"/>
          <s v="19-juil"/>
          <s v="20-juil"/>
          <s v="21-juil"/>
          <s v="22-juil"/>
          <s v="23-juil"/>
          <s v="24-juil"/>
          <s v="25-juil"/>
          <s v="26-juil"/>
          <s v="27-juil"/>
          <s v="28-juil"/>
          <s v="29-juil"/>
          <s v="30-juil"/>
          <s v="31-juil"/>
          <s v="01-août"/>
          <s v="02-août"/>
          <s v="03-août"/>
          <s v="04-août"/>
          <s v="05-août"/>
          <s v="06-août"/>
          <s v="07-août"/>
          <s v="08-août"/>
          <s v="09-août"/>
          <s v="10-août"/>
          <s v="11-août"/>
          <s v="12-août"/>
          <s v="13-août"/>
          <s v="14-août"/>
          <s v="15-août"/>
          <s v="16-août"/>
          <s v="17-août"/>
          <s v="18-août"/>
          <s v="19-août"/>
          <s v="20-août"/>
          <s v="21-août"/>
          <s v="22-août"/>
          <s v="23-août"/>
          <s v="24-août"/>
          <s v="25-août"/>
          <s v="26-août"/>
          <s v="27-août"/>
          <s v="28-août"/>
          <s v="29-août"/>
          <s v="30-août"/>
          <s v="31-août"/>
          <s v="01-sept"/>
          <s v="02-sept"/>
          <s v="03-sept"/>
          <s v="04-sept"/>
          <s v="05-sept"/>
          <s v="06-sept"/>
          <s v="07-sept"/>
          <s v="08-sept"/>
          <s v="09-sept"/>
          <s v="10-sept"/>
          <s v="11-sept"/>
          <s v="12-sept"/>
          <s v="13-sept"/>
          <s v="14-sept"/>
          <s v="15-sept"/>
          <s v="16-sept"/>
          <s v="17-sept"/>
          <s v="18-sept"/>
          <s v="19-sept"/>
          <s v="20-sept"/>
          <s v="21-sept"/>
          <s v="22-sept"/>
          <s v="23-sept"/>
          <s v="24-sept"/>
          <s v="25-sept"/>
          <s v="26-sept"/>
          <s v="27-sept"/>
          <s v="28-sept"/>
          <s v="29-sept"/>
          <s v="30-sept"/>
          <s v="01-oct"/>
          <s v="02-oct"/>
          <s v="03-oct"/>
          <s v="04-oct"/>
          <s v="05-oct"/>
          <s v="06-oct"/>
          <s v="07-oct"/>
          <s v="08-oct"/>
          <s v="09-oct"/>
          <s v="10-oct"/>
          <s v="11-oct"/>
          <s v="12-oct"/>
          <s v="13-oct"/>
          <s v="14-oct"/>
          <s v="15-oct"/>
          <s v="16-oct"/>
          <s v="17-oct"/>
          <s v="18-oct"/>
          <s v="19-oct"/>
          <s v="20-oct"/>
          <s v="21-oct"/>
          <s v="22-oct"/>
          <s v="23-oct"/>
          <s v="24-oct"/>
          <s v="25-oct"/>
          <s v="26-oct"/>
          <s v="27-oct"/>
          <s v="28-oct"/>
          <s v="29-oct"/>
          <s v="30-oct"/>
          <s v="31-oct"/>
          <s v="01-nov"/>
          <s v="02-nov"/>
          <s v="03-nov"/>
          <s v="04-nov"/>
          <s v="05-nov"/>
          <s v="06-nov"/>
          <s v="07-nov"/>
          <s v="08-nov"/>
          <s v="09-nov"/>
          <s v="10-nov"/>
          <s v="11-nov"/>
          <s v="12-nov"/>
          <s v="13-nov"/>
          <s v="14-nov"/>
          <s v="15-nov"/>
          <s v="16-nov"/>
          <s v="17-nov"/>
          <s v="18-nov"/>
          <s v="19-nov"/>
          <s v="20-nov"/>
          <s v="21-nov"/>
          <s v="22-nov"/>
          <s v="23-nov"/>
          <s v="24-nov"/>
          <s v="25-nov"/>
          <s v="26-nov"/>
          <s v="27-nov"/>
          <s v="28-nov"/>
          <s v="29-nov"/>
          <s v="30-nov"/>
          <s v="01-déc"/>
          <s v="02-déc"/>
          <s v="03-déc"/>
          <s v="04-déc"/>
          <s v="05-déc"/>
          <s v="06-déc"/>
          <s v="07-déc"/>
          <s v="08-déc"/>
          <s v="09-déc"/>
          <s v="10-déc"/>
          <s v="11-déc"/>
          <s v="12-déc"/>
          <s v="13-déc"/>
          <s v="14-déc"/>
          <s v="15-déc"/>
          <s v="16-déc"/>
          <s v="17-déc"/>
          <s v="18-déc"/>
          <s v="19-déc"/>
          <s v="20-déc"/>
          <s v="21-déc"/>
          <s v="22-déc"/>
          <s v="23-déc"/>
          <s v="24-déc"/>
          <s v="25-déc"/>
          <s v="26-déc"/>
          <s v="27-déc"/>
          <s v="28-déc"/>
          <s v="29-déc"/>
          <s v="30-déc"/>
          <s v="31-déc"/>
          <s v="&gt;21/02/2020"/>
        </groupItems>
      </fieldGroup>
    </cacheField>
    <cacheField name="Position" numFmtId="164">
      <sharedItems containsString="0" containsBlank="1" containsNumber="1" containsInteger="1" minValue="259349734" maxValue="260390997"/>
    </cacheField>
    <cacheField name="Symbole" numFmtId="0">
      <sharedItems containsBlank="1" count="5">
        <s v="UsaInd"/>
        <m/>
        <s v="DOW" u="1"/>
        <s v="EURUSD" u="1"/>
        <s v="Ger30" u="1"/>
      </sharedItems>
      <fieldGroup par="71"/>
    </cacheField>
    <cacheField name="Type" numFmtId="0">
      <sharedItems containsBlank="1"/>
    </cacheField>
    <cacheField name="Volume" numFmtId="0">
      <sharedItems containsString="0" containsBlank="1" containsNumber="1" minValue="0.4" maxValue="0.5"/>
    </cacheField>
    <cacheField name="Lvl Entrée" numFmtId="165">
      <sharedItems containsString="0" containsBlank="1" containsNumber="1" minValue="28372.38" maxValue="29524.81"/>
    </cacheField>
    <cacheField name="S / L" numFmtId="165">
      <sharedItems containsString="0" containsBlank="1" containsNumber="1" minValue="28370.880000000001" maxValue="29523.31"/>
    </cacheField>
    <cacheField name="T / P" numFmtId="165">
      <sharedItems containsString="0" containsBlank="1" containsNumber="1" minValue="28232.38" maxValue="29597.71"/>
    </cacheField>
    <cacheField name="Horodatage cloture" numFmtId="22">
      <sharedItems containsSemiMixedTypes="0" containsNonDate="0" containsDate="1" containsString="0" minDate="2020-02-03T09:43:00" maxDate="2020-02-21T08:42:56" count="159">
        <d v="2020-02-03T09:43:00"/>
        <d v="2020-02-03T15:50:13"/>
        <d v="2020-02-03T15:50:55"/>
        <d v="2020-02-03T16:08:39"/>
        <d v="2020-02-03T16:33:28"/>
        <d v="2020-02-04T15:30:39"/>
        <d v="2020-02-04T15:36:08"/>
        <d v="2020-02-04T15:36:28"/>
        <d v="2020-02-04T15:37:15"/>
        <d v="2020-02-04T15:38:53"/>
        <d v="2020-02-04T15:55:36"/>
        <d v="2020-02-04T17:14:06"/>
        <d v="2020-02-04T17:29:12"/>
        <d v="2020-02-04T17:31:18"/>
        <d v="2020-02-04T17:31:57"/>
        <d v="2020-02-04T17:44:13"/>
        <d v="2020-02-04T17:46:59"/>
        <d v="2020-02-04T17:48:09"/>
        <d v="2020-02-04T18:04:57"/>
        <d v="2020-02-04T18:07:21"/>
        <d v="2020-02-04T18:12:08"/>
        <d v="2020-02-04T18:17:24"/>
        <d v="2020-02-04T20:11:38"/>
        <d v="2020-02-04T21:56:48"/>
        <d v="2020-02-05T16:02:27"/>
        <d v="2020-02-05T16:03:15"/>
        <d v="2020-02-05T16:04:03"/>
        <d v="2020-02-05T16:04:12"/>
        <d v="2020-02-05T16:08:12"/>
        <d v="2020-02-05T16:09:53"/>
        <d v="2020-02-05T16:10:22"/>
        <d v="2020-02-05T16:13:44"/>
        <d v="2020-02-05T16:15:38"/>
        <d v="2020-02-05T16:16:01"/>
        <d v="2020-02-05T16:26:33"/>
        <d v="2020-02-05T16:27:00"/>
        <d v="2020-02-05T16:27:25"/>
        <d v="2020-02-05T16:29:35"/>
        <d v="2020-02-05T16:30:13"/>
        <d v="2020-02-05T16:36:14"/>
        <d v="2020-02-05T16:40:48"/>
        <d v="2020-02-05T16:41:17"/>
        <d v="2020-02-05T16:42:04"/>
        <d v="2020-02-05T19:57:16"/>
        <d v="2020-02-06T15:31:26"/>
        <d v="2020-02-06T15:33:09"/>
        <d v="2020-02-06T15:34:00"/>
        <d v="2020-02-06T15:36:42"/>
        <d v="2020-02-06T15:40:07"/>
        <d v="2020-02-06T15:41:04"/>
        <d v="2020-02-06T15:47:23"/>
        <d v="2020-02-06T15:50:21"/>
        <d v="2020-02-06T15:50:56"/>
        <d v="2020-02-06T15:51:22"/>
        <d v="2020-02-06T17:23:04"/>
        <d v="2020-02-06T21:10:30"/>
        <d v="2020-02-07T11:15:15"/>
        <d v="2020-02-07T11:18:21"/>
        <d v="2020-02-07T14:39:28"/>
        <d v="2020-02-10T15:05:08"/>
        <d v="2020-02-10T15:13:50"/>
        <d v="2020-02-10T15:40:36"/>
        <d v="2020-02-10T15:41:19"/>
        <d v="2020-02-10T15:53:07"/>
        <d v="2020-02-10T15:59:58"/>
        <d v="2020-02-10T16:03:21"/>
        <d v="2020-02-10T16:05:10"/>
        <d v="2020-02-10T16:09:30"/>
        <d v="2020-02-10T16:12:23"/>
        <d v="2020-02-10T16:19:09"/>
        <d v="2020-02-10T16:30:40"/>
        <d v="2020-02-10T16:38:38"/>
        <d v="2020-02-10T21:11:41"/>
        <d v="2020-02-10T21:49:17"/>
        <d v="2020-02-10T21:53:52"/>
        <d v="2020-02-10T21:54:44"/>
        <d v="2020-02-10T21:56:25"/>
        <d v="2020-02-10T21:57:27"/>
        <d v="2020-02-11T15:31:44"/>
        <d v="2020-02-11T15:34:02"/>
        <d v="2020-02-11T15:34:31"/>
        <d v="2020-02-11T15:36:02"/>
        <d v="2020-02-11T15:37:18"/>
        <d v="2020-02-11T17:31:08"/>
        <d v="2020-02-11T17:36:01"/>
        <d v="2020-02-11T17:37:19"/>
        <d v="2020-02-11T20:21:39"/>
        <d v="2020-02-11T20:24:03"/>
        <d v="2020-02-11T21:02:48"/>
        <d v="2020-02-11T21:09:00"/>
        <d v="2020-02-11T21:09:52"/>
        <d v="2020-02-11T21:11:18"/>
        <d v="2020-02-12T11:35:32"/>
        <d v="2020-02-12T14:59:28"/>
        <d v="2020-02-12T16:23:35"/>
        <d v="2020-02-12T16:24:02"/>
        <d v="2020-02-12T16:31:27"/>
        <d v="2020-02-12T18:32:40"/>
        <d v="2020-02-13T15:45:14"/>
        <d v="2020-02-13T15:47:43"/>
        <d v="2020-02-13T15:52:10"/>
        <d v="2020-02-13T16:15:04"/>
        <d v="2020-02-13T16:16:59"/>
        <d v="2020-02-13T16:19:51"/>
        <d v="2020-02-13T16:23:06"/>
        <d v="2020-02-13T16:26:57"/>
        <d v="2020-02-13T16:46:42"/>
        <d v="2020-02-13T16:50:28"/>
        <d v="2020-02-13T16:51:05"/>
        <d v="2020-02-13T16:52:58"/>
        <d v="2020-02-13T16:59:15"/>
        <d v="2020-02-13T17:03:09"/>
        <d v="2020-02-13T17:23:39"/>
        <d v="2020-02-13T17:27:57"/>
        <d v="2020-02-13T17:32:35"/>
        <d v="2020-02-13T17:35:17"/>
        <d v="2020-02-13T20:03:56"/>
        <d v="2020-02-14T09:58:18"/>
        <d v="2020-02-14T10:01:30"/>
        <d v="2020-02-14T10:05:24"/>
        <d v="2020-02-14T10:08:01"/>
        <d v="2020-02-14T10:42:29"/>
        <d v="2020-02-14T12:12:28"/>
        <d v="2020-02-14T15:38:25"/>
        <d v="2020-02-14T15:56:44"/>
        <d v="2020-02-14T16:11:57"/>
        <d v="2020-02-14T16:12:39"/>
        <d v="2020-02-14T16:14:36"/>
        <d v="2020-02-14T16:18:29"/>
        <d v="2020-02-14T16:53:10"/>
        <d v="2020-02-14T17:00:32"/>
        <d v="2020-02-14T17:06:39"/>
        <d v="2020-02-14T17:09:01"/>
        <d v="2020-02-14T17:49:35"/>
        <d v="2020-02-14T17:53:23"/>
        <d v="2020-02-14T18:06:33"/>
        <d v="2020-02-14T18:15:28"/>
        <d v="2020-02-14T18:35:48"/>
        <d v="2020-02-14T18:44:03"/>
        <d v="2020-02-14T18:48:36"/>
        <d v="2020-02-14T18:53:33"/>
        <d v="2020-02-14T19:53:46"/>
        <d v="2020-02-14T19:57:07"/>
        <d v="2020-02-17T08:23:45"/>
        <d v="2020-02-17T11:38:45"/>
        <d v="2020-02-18T16:10:39"/>
        <d v="2020-02-18T16:37:21"/>
        <d v="2020-02-18T16:44:06"/>
        <d v="2020-02-18T17:28:27"/>
        <d v="2020-02-18T17:29:28"/>
        <d v="2020-02-18T17:50:24"/>
        <d v="2020-02-18T17:56:33"/>
        <d v="2020-02-18T18:02:16"/>
        <d v="2020-02-18T19:06:59"/>
        <d v="2020-02-19T23:59:59"/>
        <d v="2020-02-20T15:37:08"/>
        <d v="2020-02-20T18:15:00"/>
        <d v="2020-02-21T08:42:56"/>
        <d v="2020-02-19T23:59:00" u="1"/>
      </sharedItems>
    </cacheField>
    <cacheField name="Lvl Sortie" numFmtId="165">
      <sharedItems containsString="0" containsBlank="1" containsNumber="1" minValue="28371.46" maxValue="29524.22"/>
    </cacheField>
    <cacheField name="Commission" numFmtId="165">
      <sharedItems containsString="0" containsBlank="1" containsNumber="1" containsInteger="1" minValue="0" maxValue="0"/>
    </cacheField>
    <cacheField name="Echange" numFmtId="165">
      <sharedItems containsString="0" containsBlank="1" containsNumber="1" minValue="-3.69" maxValue="0"/>
    </cacheField>
    <cacheField name="Profit" numFmtId="166">
      <sharedItems containsString="0" containsBlank="1" containsNumber="1" minValue="-5.54" maxValue="90.92"/>
    </cacheField>
    <cacheField name="Trade n°" numFmtId="0">
      <sharedItems containsMixedTypes="1" containsNumber="1" containsInteger="1" minValue="1" maxValue="158"/>
    </cacheField>
    <cacheField name="Cumul profit" numFmtId="166">
      <sharedItems containsSemiMixedTypes="0" containsString="0" containsNumber="1" minValue="-224.98999999999998" maxValue="52.840000000000025"/>
    </cacheField>
    <cacheField name="Cumul équité" numFmtId="166">
      <sharedItems containsSemiMixedTypes="0" containsString="0" containsNumber="1" minValue="775.01" maxValue="1052.8399999999999"/>
    </cacheField>
    <cacheField name="Date" numFmtId="14">
      <sharedItems containsSemiMixedTypes="0" containsNonDate="0" containsDate="1" containsString="0" minDate="2020-02-03T00:00:00" maxDate="2020-02-22T00:00:00" count="15">
        <d v="2020-02-03T00:00:00"/>
        <d v="2020-02-04T00:00:00"/>
        <d v="2020-02-05T00:00:00"/>
        <d v="2020-02-06T00:00:00"/>
        <d v="2020-02-07T00:00:00"/>
        <d v="2020-02-10T00:00:00"/>
        <d v="2020-02-11T00:00:00"/>
        <d v="2020-02-12T00:00:00"/>
        <d v="2020-02-13T00:00:00"/>
        <d v="2020-02-14T00:00:00"/>
        <d v="2020-02-17T00:00:00"/>
        <d v="2020-02-18T00:00:00"/>
        <d v="2020-02-19T00:00:00"/>
        <d v="2020-02-20T00:00:00"/>
        <d v="2020-02-21T00:00:00"/>
      </sharedItems>
    </cacheField>
    <cacheField name="N° de semaine" numFmtId="0">
      <sharedItems containsSemiMixedTypes="0" containsString="0" containsNumber="1" containsInteger="1" minValue="1" maxValue="45" count="11">
        <n v="6"/>
        <n v="7"/>
        <n v="8"/>
        <n v="3" u="1"/>
        <n v="43" u="1"/>
        <n v="45" u="1"/>
        <n v="4" u="1"/>
        <n v="2" u="1"/>
        <n v="1" u="1"/>
        <n v="42" u="1"/>
        <n v="44" u="1"/>
      </sharedItems>
    </cacheField>
    <cacheField name="Jour" numFmtId="174">
      <sharedItems containsSemiMixedTypes="0" containsNonDate="0" containsDate="1" containsString="0" minDate="1900-01-01T00:00:00" maxDate="1900-01-06T00:00:00"/>
    </cacheField>
    <cacheField name="Heure" numFmtId="175">
      <sharedItems containsSemiMixedTypes="0" containsString="0" containsNumber="1" containsInteger="1" minValue="8" maxValue="23"/>
    </cacheField>
    <cacheField name="Nb de séance de trading" numFmtId="0">
      <sharedItems containsMixedTypes="1" containsNumber="1" containsInteger="1" minValue="0" maxValue="1"/>
    </cacheField>
    <cacheField name="Nb de trade du jour" numFmtId="0">
      <sharedItems containsMixedTypes="1" containsNumber="1" containsInteger="1" minValue="1" maxValue="26"/>
    </cacheField>
    <cacheField name="Ecart du SL" numFmtId="167">
      <sharedItems containsMixedTypes="1" containsNumber="1" minValue="-35" maxValue="11.1"/>
    </cacheField>
    <cacheField name="Ecart du TP" numFmtId="167">
      <sharedItems containsMixedTypes="1" containsNumber="1" minValue="0" maxValue="560"/>
    </cacheField>
    <cacheField name="RR Avant Trade" numFmtId="0">
      <sharedItems containsMixedTypes="1" containsNumber="1" minValue="0" maxValue="56"/>
    </cacheField>
    <cacheField name="RR Réel" numFmtId="0">
      <sharedItems containsMixedTypes="1" containsNumber="1" minValue="-1.2" maxValue="18.2"/>
    </cacheField>
    <cacheField name="Equité avant trade" numFmtId="166">
      <sharedItems containsSemiMixedTypes="0" containsString="0" containsNumber="1" minValue="775.0100000000001" maxValue="1052.8399999999999"/>
    </cacheField>
    <cacheField name="Equité après trade" numFmtId="166">
      <sharedItems containsSemiMixedTypes="0" containsString="0" containsNumber="1" minValue="775.01" maxValue="1052.8399999999999"/>
    </cacheField>
    <cacheField name="Heure premiere valeur" numFmtId="22">
      <sharedItems containsDate="1" containsMixedTypes="1" minDate="2020-02-03T09:41:34" maxDate="2020-02-21T08:34:36"/>
    </cacheField>
    <cacheField name="Equité début de journée" numFmtId="166">
      <sharedItems containsSemiMixedTypes="0" containsString="0" containsNumber="1" minValue="775.0100000000001" maxValue="1047.8899999999999"/>
    </cacheField>
    <cacheField name="Valeur début de journée unique" numFmtId="166">
      <sharedItems containsSemiMixedTypes="0" containsString="0" containsNumber="1" minValue="0" maxValue="1047.8899999999999"/>
    </cacheField>
    <cacheField name="Heure derniere valeur" numFmtId="22">
      <sharedItems containsDate="1" containsMixedTypes="1" minDate="2020-02-03T16:08:49" maxDate="2020-02-21T08:34:36"/>
    </cacheField>
    <cacheField name="Equité fin de journée" numFmtId="166">
      <sharedItems containsSemiMixedTypes="0" containsString="0" containsNumber="1" minValue="775.01" maxValue="1047.8900000000001"/>
    </cacheField>
    <cacheField name="Valeur fin de journée unique" numFmtId="166">
      <sharedItems containsSemiMixedTypes="0" containsString="0" containsNumber="1" minValue="0" maxValue="1047.8900000000001"/>
    </cacheField>
    <cacheField name="Equité fin de journée graphique" numFmtId="166">
      <sharedItems containsMixedTypes="1" containsNumber="1" minValue="775.01" maxValue="1047.8900000000001"/>
    </cacheField>
    <cacheField name="Variation" numFmtId="10">
      <sharedItems containsMixedTypes="1" containsNumber="1" minValue="-5.8253143088891459E-3" maxValue="9.8110520011654087E-2"/>
    </cacheField>
    <cacheField name="variation de la journée" numFmtId="10">
      <sharedItems containsMixedTypes="1" containsNumber="1" minValue="-0.10697701215647869" maxValue="5.4618650081934325E-2"/>
    </cacheField>
    <cacheField name="Sommet Drawdown" numFmtId="166">
      <sharedItems containsMixedTypes="1" containsNumber="1" minValue="832.11" maxValue="1052.8399999999999"/>
    </cacheField>
    <cacheField name="Creux Drawdown" numFmtId="166">
      <sharedItems containsMixedTypes="1" containsNumber="1" minValue="775.01" maxValue="1048.24"/>
    </cacheField>
    <cacheField name="Drawdown" numFmtId="179">
      <sharedItems containsMixedTypes="1" containsNumber="1" minValue="-0.26388625052239656" maxValue="0"/>
    </cacheField>
    <cacheField name="Points" numFmtId="167">
      <sharedItems containsMixedTypes="1" containsNumber="1" minValue="-12.1" maxValue="200"/>
    </cacheField>
    <cacheField name="Points Gagnant" numFmtId="167">
      <sharedItems containsMixedTypes="1" containsNumber="1" minValue="0.6" maxValue="200"/>
    </cacheField>
    <cacheField name="Points perdants" numFmtId="167">
      <sharedItems containsMixedTypes="1" containsNumber="1" minValue="-12.1" maxValue="-1"/>
    </cacheField>
    <cacheField name="Evolution des points" numFmtId="167">
      <sharedItems containsSemiMixedTypes="0" containsString="0" containsNumber="1" minValue="-497.40000000000015" maxValue="115.60000000000001"/>
    </cacheField>
    <cacheField name="Conforme" numFmtId="0">
      <sharedItems containsMixedTypes="1" containsNumber="1" containsInteger="1" minValue="0" maxValue="1"/>
    </cacheField>
    <cacheField name="Non conforme" numFmtId="0">
      <sharedItems containsMixedTypes="1" containsNumber="1" containsInteger="1" minValue="0" maxValue="1"/>
    </cacheField>
    <cacheField name="Conformité" numFmtId="0">
      <sharedItems containsBlank="1"/>
    </cacheField>
    <cacheField name="Type de trade" numFmtId="0">
      <sharedItems containsBlank="1"/>
    </cacheField>
    <cacheField name="Configuration" numFmtId="0">
      <sharedItems containsBlank="1"/>
    </cacheField>
    <cacheField name="Conviction" numFmtId="0">
      <sharedItems containsString="0" containsBlank="1" containsNumber="1" containsInteger="1" minValue="0" maxValue="1"/>
    </cacheField>
    <cacheField name="Timing" numFmtId="0">
      <sharedItems containsString="0" containsBlank="1" containsNumber="1" containsInteger="1" minValue="0" maxValue="1"/>
    </cacheField>
    <cacheField name="Sortie" numFmtId="0">
      <sharedItems containsString="0" containsBlank="1" containsNumber="1" containsInteger="1" minValue="0" maxValue="1"/>
    </cacheField>
    <cacheField name="SW" numFmtId="0">
      <sharedItems/>
    </cacheField>
    <cacheField name="BE" numFmtId="0">
      <sharedItems/>
    </cacheField>
    <cacheField name="TP Théorique atteint" numFmtId="0">
      <sharedItems/>
    </cacheField>
    <cacheField name="EUR/USD" numFmtId="178">
      <sharedItems containsSemiMixedTypes="0" containsString="0" containsNumber="1" minValue="1.079" maxValue="1.1066"/>
    </cacheField>
    <cacheField name="Levier" numFmtId="168">
      <sharedItems containsMixedTypes="1" containsNumber="1" minValue="12.614796581298728" maxValue="16.679755155316922"/>
    </cacheField>
    <cacheField name="Note du trade" numFmtId="0">
      <sharedItems containsMixedTypes="1" containsNumber="1" containsInteger="1" minValue="0" maxValue="10" count="6">
        <n v="0"/>
        <n v="10"/>
        <s v=""/>
        <n v="7"/>
        <n v="4"/>
        <n v="1" u="1"/>
      </sharedItems>
    </cacheField>
    <cacheField name="Note du résultat" numFmtId="0">
      <sharedItems/>
    </cacheField>
    <cacheField name="Résultat" numFmtId="0">
      <sharedItems count="4">
        <s v="Gagnant"/>
        <s v="Perdant"/>
        <s v="Flat"/>
        <s v=""/>
      </sharedItems>
    </cacheField>
    <cacheField name="Gagnant" numFmtId="0">
      <sharedItems containsMixedTypes="1" containsNumber="1" containsInteger="1" minValue="0" maxValue="1"/>
    </cacheField>
    <cacheField name="Perdant" numFmtId="0">
      <sharedItems containsMixedTypes="1" containsNumber="1" containsInteger="1" minValue="0" maxValue="1"/>
    </cacheField>
    <cacheField name="NES" numFmtId="0">
      <sharedItems containsString="0" containsBlank="1" containsNumber="1" minValue="29013.53" maxValue="29270.97"/>
    </cacheField>
    <cacheField name="Sortie Prévue" numFmtId="165">
      <sharedItems containsMixedTypes="1" containsNumber="1" minValue="28232.38" maxValue="29597.71"/>
    </cacheField>
    <cacheField name="Commentaire avant trade" numFmtId="0">
      <sharedItems containsBlank="1"/>
    </cacheField>
    <cacheField name="Psycho avant trade" numFmtId="0">
      <sharedItems containsBlank="1"/>
    </cacheField>
    <cacheField name="Tendance repérée avant trade" numFmtId="0">
      <sharedItems containsBlank="1"/>
    </cacheField>
    <cacheField name="Commentaire aprés trade" numFmtId="0">
      <sharedItems containsBlank="1"/>
    </cacheField>
    <cacheField name="Version du plan" numFmtId="0">
      <sharedItems containsBlank="1"/>
    </cacheField>
    <cacheField name="points_+" numFmtId="0" formula="IF(Points&gt;0,Points,0)" databaseField="0"/>
    <cacheField name="points_-" numFmtId="0" formula="IF(Points&lt;0,Points,0)" databaseField="0"/>
    <cacheField name="Symbole2" numFmtId="0" databaseField="0">
      <fieldGroup base="2">
        <discretePr count="5">
          <x v="0"/>
          <x v="3"/>
          <x v="0"/>
          <x v="2"/>
          <x v="1"/>
        </discretePr>
        <groupItems count="4">
          <s v="Groupe1"/>
          <s v="Ger30"/>
          <s v="EURUSD"/>
          <m/>
        </groupItems>
      </fieldGroup>
    </cacheField>
    <cacheField name="Mois" numFmtId="0" databaseField="0">
      <fieldGroup base="0">
        <rangePr groupBy="months" startDate="2020-02-03T09:41:34" endDate="2020-02-21T08:34:36"/>
        <groupItems count="14">
          <s v="&lt;03/02/2020"/>
          <s v="janv"/>
          <s v="févr"/>
          <s v="mars"/>
          <s v="avr"/>
          <s v="mai"/>
          <s v="juin"/>
          <s v="juil"/>
          <s v="août"/>
          <s v="sept"/>
          <s v="oct"/>
          <s v="nov"/>
          <s v="déc"/>
          <s v="&gt;21/02/2020"/>
        </groupItems>
      </fieldGroup>
    </cacheField>
    <cacheField name="Trimestres" numFmtId="0" databaseField="0">
      <fieldGroup base="0">
        <rangePr groupBy="quarters" startDate="2020-02-03T09:41:34" endDate="2020-02-21T08:34:36"/>
        <groupItems count="6">
          <s v="&lt;03/02/2020"/>
          <s v="Trimestre1"/>
          <s v="Trimestre2"/>
          <s v="Trimestre3"/>
          <s v="Trimestre4"/>
          <s v="&gt;21/02/2020"/>
        </groupItems>
      </fieldGroup>
    </cacheField>
    <cacheField name="Années" numFmtId="0" databaseField="0">
      <fieldGroup base="0">
        <rangePr groupBy="years" startDate="2020-02-03T09:41:34" endDate="2020-02-21T08:34:36"/>
        <groupItems count="3">
          <s v="&lt;03/02/2020"/>
          <s v="2020"/>
          <s v="&gt;21/02/2020"/>
        </groupItems>
      </fieldGroup>
    </cacheField>
    <cacheField name="Variation Jour" numFmtId="0" formula="'variation de la journée'" databaseField="0"/>
    <cacheField name="variationjour_+" numFmtId="0" formula="IF('Variation Jour'&gt;0,'Variation Jour',0)" databaseField="0"/>
    <cacheField name="variationjour_-" numFmtId="0" formula="IF('Variation Jour'&lt;0,'Variation Jour',0)" databaseField="0"/>
    <cacheField name="Date_debut" numFmtId="0" formula="MIN('Horodatage ouverture')" databaseField="0"/>
    <cacheField name="Nb journée de trade" numFmtId="0" formula="IF('Valeur fin de journée unique'=0,0,1)" databaseField="0"/>
  </cacheFields>
  <extLst>
    <ext xmlns:x14="http://schemas.microsoft.com/office/spreadsheetml/2009/9/main" uri="{725AE2AE-9491-48be-B2B4-4EB974FC3084}">
      <x14:pivotCacheDefinition pivotCacheId="717962282"/>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158">
  <r>
    <x v="0"/>
    <n v="259349734"/>
    <s v="UsaInd"/>
    <s v="sell"/>
    <n v="0.5"/>
    <n v="28372.38"/>
    <n v="28370.880000000001"/>
    <n v="28232.38"/>
    <d v="2020-02-03T09:43:00"/>
    <n v="28371.46"/>
    <n v="0"/>
    <n v="0"/>
    <n v="0.42"/>
    <n v="1"/>
    <n v="0.42"/>
    <n v="1000.42"/>
    <x v="0"/>
    <n v="6"/>
    <d v="1900-01-01T00:00:00"/>
    <n v="9"/>
    <n v="1"/>
    <n v="5"/>
    <n v="-1.5"/>
    <n v="140"/>
    <n v="14"/>
    <n v="0.1"/>
    <n v="1000"/>
    <n v="1000.42"/>
    <d v="2020-02-03T09:41:34"/>
    <n v="1000"/>
    <n v="1000"/>
    <d v="2020-02-03T16:08:49"/>
    <n v="1010.03"/>
    <n v="0"/>
    <e v="#N/A"/>
    <n v="4.1999999999995909E-4"/>
    <n v="1.0029999999999973E-2"/>
    <n v="1000.42"/>
    <n v="1000.42"/>
    <n v="0"/>
    <n v="0.9"/>
    <n v="0.9"/>
    <s v=""/>
    <n v="0.9"/>
    <n v="0"/>
    <n v="1"/>
    <s v="Non conforme"/>
    <m/>
    <m/>
    <n v="0"/>
    <n v="0"/>
    <n v="0"/>
    <s v="Non"/>
    <s v="Oui"/>
    <s v="Non"/>
    <n v="1.1066"/>
    <n v="12.819618651726007"/>
    <n v="0"/>
    <s v="0"/>
    <s v="Gagnant"/>
    <n v="1"/>
    <n v="0"/>
    <m/>
    <n v="28232.38"/>
    <m/>
    <m/>
    <m/>
    <m/>
    <m/>
  </r>
  <r>
    <x v="1"/>
    <n v="259377510"/>
    <s v="UsaInd"/>
    <s v="sell"/>
    <n v="0.5"/>
    <n v="28510.82"/>
    <n v="28520.82"/>
    <m/>
    <d v="2020-02-03T15:50:13"/>
    <n v="28521.13"/>
    <n v="0"/>
    <n v="0"/>
    <n v="-4.67"/>
    <n v="2"/>
    <n v="-4.25"/>
    <n v="995.75"/>
    <x v="0"/>
    <n v="6"/>
    <d v="1900-01-01T00:00:00"/>
    <n v="15"/>
    <n v="0"/>
    <s v=""/>
    <n v="10"/>
    <n v="200"/>
    <n v="20"/>
    <n v="-1"/>
    <n v="1000.42"/>
    <n v="995.75"/>
    <d v="2020-02-03T09:41:34"/>
    <n v="1000"/>
    <n v="0"/>
    <d v="2020-02-03T16:08:49"/>
    <n v="1010.03"/>
    <n v="0"/>
    <e v="#N/A"/>
    <n v="-4.6680394234421135E-3"/>
    <s v=""/>
    <n v="1000.42"/>
    <n v="995.75"/>
    <n v="-4.6680394234420719E-3"/>
    <n v="-10.3"/>
    <s v=""/>
    <n v="-10.3"/>
    <n v="-9.4"/>
    <n v="0"/>
    <n v="1"/>
    <s v="Non conforme"/>
    <m/>
    <m/>
    <n v="0"/>
    <n v="0"/>
    <n v="0"/>
    <s v="Non"/>
    <s v="Non"/>
    <s v="Non"/>
    <n v="1.1066"/>
    <n v="12.876762372491065"/>
    <n v="0"/>
    <s v="--"/>
    <s v="Perdant"/>
    <n v="0"/>
    <n v="1"/>
    <m/>
    <s v=""/>
    <m/>
    <m/>
    <m/>
    <m/>
    <m/>
  </r>
  <r>
    <x v="2"/>
    <n v="259377664"/>
    <s v="UsaInd"/>
    <s v="sell"/>
    <n v="0.5"/>
    <n v="28518.89"/>
    <n v="28528.89"/>
    <m/>
    <d v="2020-02-03T15:50:55"/>
    <n v="28528.99"/>
    <n v="0"/>
    <n v="0"/>
    <n v="-4.57"/>
    <n v="3"/>
    <n v="-8.82"/>
    <n v="991.18"/>
    <x v="0"/>
    <n v="6"/>
    <d v="1900-01-01T00:00:00"/>
    <n v="15"/>
    <n v="0"/>
    <s v=""/>
    <n v="10"/>
    <n v="200"/>
    <n v="20"/>
    <n v="-1"/>
    <n v="995.75"/>
    <n v="991.18"/>
    <d v="2020-02-03T09:41:34"/>
    <n v="1000"/>
    <n v="0"/>
    <d v="2020-02-03T16:08:49"/>
    <n v="1010.03"/>
    <n v="0"/>
    <e v="#N/A"/>
    <n v="-4.5895053979413004E-3"/>
    <s v=""/>
    <n v="1000.42"/>
    <n v="991.18"/>
    <n v="-9.2361208292517372E-3"/>
    <n v="-10.1"/>
    <s v=""/>
    <n v="-10.1"/>
    <n v="-19.5"/>
    <n v="0"/>
    <n v="1"/>
    <s v="Non conforme"/>
    <m/>
    <m/>
    <n v="0"/>
    <n v="0"/>
    <n v="0"/>
    <s v="Non"/>
    <s v="Non"/>
    <s v="Non"/>
    <n v="1.1066"/>
    <n v="12.940815382055463"/>
    <n v="0"/>
    <s v="--"/>
    <s v="Perdant"/>
    <n v="0"/>
    <n v="1"/>
    <m/>
    <s v=""/>
    <m/>
    <m/>
    <m/>
    <m/>
    <m/>
  </r>
  <r>
    <x v="3"/>
    <n v="259380961"/>
    <s v="UsaInd"/>
    <s v="buy"/>
    <n v="0.5"/>
    <n v="28567.16"/>
    <n v="28557.16"/>
    <n v="28660.1"/>
    <d v="2020-02-03T16:08:39"/>
    <n v="28557.09"/>
    <n v="0"/>
    <n v="0"/>
    <n v="-4.5599999999999996"/>
    <n v="4"/>
    <n v="-13.379999999999999"/>
    <n v="986.62"/>
    <x v="0"/>
    <n v="6"/>
    <d v="1900-01-01T00:00:00"/>
    <n v="16"/>
    <n v="0"/>
    <s v=""/>
    <n v="10"/>
    <n v="92.9"/>
    <n v="9.3000000000000007"/>
    <n v="-1"/>
    <n v="991.18"/>
    <n v="986.62"/>
    <d v="2020-02-03T09:41:34"/>
    <n v="1000"/>
    <n v="0"/>
    <d v="2020-02-03T16:08:49"/>
    <n v="1010.03"/>
    <n v="0"/>
    <e v="#N/A"/>
    <n v="-4.6005770899331562E-3"/>
    <s v=""/>
    <n v="1000.42"/>
    <n v="986.62"/>
    <n v="-1.3794206433297984E-2"/>
    <n v="-10.1"/>
    <s v=""/>
    <n v="-10.1"/>
    <n v="-29.6"/>
    <n v="0"/>
    <n v="1"/>
    <s v="Non conforme"/>
    <m/>
    <m/>
    <n v="0"/>
    <n v="0"/>
    <n v="0"/>
    <s v="Non"/>
    <s v="Non"/>
    <s v="Non"/>
    <n v="1.1066"/>
    <n v="13.02248528569972"/>
    <n v="0"/>
    <s v="--"/>
    <s v="Perdant"/>
    <n v="0"/>
    <n v="1"/>
    <m/>
    <n v="28660.1"/>
    <m/>
    <m/>
    <m/>
    <m/>
    <m/>
  </r>
  <r>
    <x v="4"/>
    <n v="259380996"/>
    <s v="UsaInd"/>
    <s v="buy"/>
    <n v="0.5"/>
    <n v="28560.12"/>
    <n v="28561.62"/>
    <n v="28630.12"/>
    <d v="2020-02-03T16:33:28"/>
    <n v="28611.86"/>
    <n v="0"/>
    <n v="0"/>
    <n v="23.41"/>
    <n v="5"/>
    <n v="10.030000000000001"/>
    <n v="1010.03"/>
    <x v="0"/>
    <n v="6"/>
    <d v="1900-01-01T00:00:00"/>
    <n v="16"/>
    <n v="0"/>
    <s v=""/>
    <n v="-1.5"/>
    <n v="70"/>
    <n v="7"/>
    <n v="5.2"/>
    <n v="986.62"/>
    <n v="1010.03"/>
    <d v="2020-02-03T09:41:34"/>
    <n v="1000"/>
    <n v="0"/>
    <d v="2020-02-03T16:08:49"/>
    <n v="1010.03"/>
    <n v="1010.03"/>
    <n v="1010.03"/>
    <n v="2.3727473596724138E-2"/>
    <s v=""/>
    <n v="1010.03"/>
    <n v="1000.42"/>
    <s v=""/>
    <n v="51.7"/>
    <n v="51.7"/>
    <s v=""/>
    <n v="22.1"/>
    <n v="0"/>
    <n v="1"/>
    <s v="Non conforme"/>
    <m/>
    <m/>
    <n v="0"/>
    <n v="0"/>
    <n v="0"/>
    <s v="Non"/>
    <s v="Oui"/>
    <s v="Non"/>
    <n v="1.1066"/>
    <n v="13.079449079652678"/>
    <n v="0"/>
    <s v="+"/>
    <s v="Gagnant"/>
    <n v="1"/>
    <n v="0"/>
    <m/>
    <n v="28630.12"/>
    <m/>
    <m/>
    <m/>
    <m/>
    <m/>
  </r>
  <r>
    <x v="5"/>
    <n v="259440349"/>
    <s v="UsaInd"/>
    <s v="buy"/>
    <n v="0.5"/>
    <n v="28776.639999999999"/>
    <n v="28778.14"/>
    <n v="28803.59"/>
    <d v="2020-02-04T15:30:39"/>
    <n v="28797.42"/>
    <n v="0"/>
    <n v="0"/>
    <n v="9.41"/>
    <n v="6"/>
    <n v="19.440000000000001"/>
    <n v="1019.44"/>
    <x v="1"/>
    <n v="6"/>
    <d v="1900-01-02T00:00:00"/>
    <n v="15"/>
    <n v="1"/>
    <n v="19"/>
    <n v="-1.5"/>
    <n v="27"/>
    <n v="2.7"/>
    <n v="2.1"/>
    <n v="1010.0300000000001"/>
    <n v="1019.44"/>
    <d v="2020-02-04T15:29:51"/>
    <n v="1010.0300000000001"/>
    <n v="1010.0300000000001"/>
    <d v="2020-02-04T20:11:52"/>
    <n v="1011.88"/>
    <n v="0"/>
    <e v="#N/A"/>
    <n v="9.3165549538132206E-3"/>
    <n v="1.8316287635019839E-3"/>
    <n v="1019.44"/>
    <n v="1010.03"/>
    <s v=""/>
    <n v="20.8"/>
    <n v="20.8"/>
    <s v=""/>
    <n v="42.900000000000006"/>
    <n v="0"/>
    <n v="1"/>
    <s v="Non conforme"/>
    <m/>
    <m/>
    <n v="0"/>
    <n v="0"/>
    <n v="0"/>
    <s v="Non"/>
    <s v="Oui"/>
    <s v="Non"/>
    <n v="1.1048"/>
    <n v="12.89413310491426"/>
    <n v="0"/>
    <s v="+"/>
    <s v="Gagnant"/>
    <n v="1"/>
    <n v="0"/>
    <m/>
    <n v="28803.59"/>
    <m/>
    <m/>
    <m/>
    <m/>
    <m/>
  </r>
  <r>
    <x v="6"/>
    <n v="259441799"/>
    <s v="UsaInd"/>
    <s v="buy"/>
    <n v="0.5"/>
    <n v="28808.58"/>
    <n v="28798.58"/>
    <m/>
    <d v="2020-02-04T15:36:08"/>
    <n v="28798.5"/>
    <n v="0"/>
    <n v="0"/>
    <n v="-4.5599999999999996"/>
    <n v="7"/>
    <n v="14.880000000000003"/>
    <n v="1014.88"/>
    <x v="1"/>
    <n v="6"/>
    <d v="1900-01-02T00:00:00"/>
    <n v="15"/>
    <n v="0"/>
    <s v=""/>
    <n v="10"/>
    <n v="200"/>
    <n v="20"/>
    <n v="-1"/>
    <n v="1019.4399999999999"/>
    <n v="1014.88"/>
    <d v="2020-02-04T15:29:51"/>
    <n v="1010.0300000000001"/>
    <n v="0"/>
    <d v="2020-02-04T20:11:52"/>
    <n v="1011.88"/>
    <n v="0"/>
    <e v="#N/A"/>
    <n v="-4.4730440241700789E-3"/>
    <s v=""/>
    <n v="1019.44"/>
    <n v="1014.88"/>
    <n v="-4.4730440241701475E-3"/>
    <n v="-10.1"/>
    <s v=""/>
    <n v="-10.1"/>
    <n v="32.800000000000004"/>
    <n v="0"/>
    <n v="1"/>
    <s v="Non conforme"/>
    <m/>
    <m/>
    <n v="0"/>
    <n v="0"/>
    <n v="0"/>
    <s v="Non"/>
    <s v="Non"/>
    <s v="Non"/>
    <n v="1.1048"/>
    <n v="12.789292518395328"/>
    <n v="0"/>
    <s v="--"/>
    <s v="Perdant"/>
    <n v="0"/>
    <n v="1"/>
    <m/>
    <s v=""/>
    <m/>
    <m/>
    <m/>
    <m/>
    <m/>
  </r>
  <r>
    <x v="7"/>
    <n v="259441844"/>
    <s v="UsaInd"/>
    <s v="buy"/>
    <n v="0.5"/>
    <n v="28795.58"/>
    <n v="28785.68"/>
    <n v="28874.99"/>
    <d v="2020-02-04T15:36:28"/>
    <n v="28785.41"/>
    <n v="0"/>
    <n v="0"/>
    <n v="-4.6100000000000003"/>
    <n v="8"/>
    <n v="10.270000000000003"/>
    <n v="1010.27"/>
    <x v="1"/>
    <n v="6"/>
    <d v="1900-01-02T00:00:00"/>
    <n v="15"/>
    <n v="0"/>
    <s v=""/>
    <n v="9.9"/>
    <n v="79.400000000000006"/>
    <n v="8"/>
    <n v="-1"/>
    <n v="1014.88"/>
    <n v="1010.27"/>
    <d v="2020-02-04T15:29:51"/>
    <n v="1010.0300000000001"/>
    <n v="0"/>
    <d v="2020-02-04T20:11:52"/>
    <n v="1011.88"/>
    <n v="0"/>
    <e v="#N/A"/>
    <n v="-4.5424089547532846E-3"/>
    <s v=""/>
    <n v="1019.44"/>
    <n v="1010.27"/>
    <n v="-8.9951345836930541E-3"/>
    <n v="-10.199999999999999"/>
    <s v=""/>
    <n v="-10.199999999999999"/>
    <n v="22.600000000000005"/>
    <n v="0"/>
    <n v="1"/>
    <s v="Non conforme"/>
    <m/>
    <m/>
    <n v="0"/>
    <n v="0"/>
    <n v="0"/>
    <s v="Non"/>
    <s v="Non"/>
    <s v="Non"/>
    <n v="1.1048"/>
    <n v="12.840959470222838"/>
    <n v="0"/>
    <s v="--"/>
    <s v="Perdant"/>
    <n v="0"/>
    <n v="1"/>
    <m/>
    <n v="28874.99"/>
    <m/>
    <m/>
    <m/>
    <m/>
    <m/>
  </r>
  <r>
    <x v="8"/>
    <n v="259441886"/>
    <s v="UsaInd"/>
    <s v="buy"/>
    <n v="0.5"/>
    <n v="28791.73"/>
    <n v="28781.73"/>
    <n v="28875.63"/>
    <d v="2020-02-04T15:37:15"/>
    <n v="28781.48"/>
    <n v="0"/>
    <n v="0"/>
    <n v="-4.6500000000000004"/>
    <n v="9"/>
    <n v="5.6200000000000028"/>
    <n v="1005.62"/>
    <x v="1"/>
    <n v="6"/>
    <d v="1900-01-02T00:00:00"/>
    <n v="15"/>
    <n v="0"/>
    <s v=""/>
    <n v="10"/>
    <n v="83.9"/>
    <n v="8.4"/>
    <n v="-1"/>
    <n v="1010.27"/>
    <n v="1005.62"/>
    <d v="2020-02-04T15:29:51"/>
    <n v="1010.0300000000001"/>
    <n v="0"/>
    <d v="2020-02-04T20:11:52"/>
    <n v="1011.88"/>
    <n v="0"/>
    <e v="#N/A"/>
    <n v="-4.6027299632771211E-3"/>
    <s v=""/>
    <n v="1019.44"/>
    <n v="1005.62"/>
    <n v="-1.3556462371498101E-2"/>
    <n v="-10.3"/>
    <s v=""/>
    <n v="-10.3"/>
    <n v="12.300000000000004"/>
    <n v="0"/>
    <n v="1"/>
    <s v="Non conforme"/>
    <m/>
    <m/>
    <n v="0"/>
    <n v="0"/>
    <n v="0"/>
    <s v="Non"/>
    <s v="Non"/>
    <s v="Non"/>
    <n v="1.1048"/>
    <n v="12.897829837890715"/>
    <n v="0"/>
    <s v="--"/>
    <s v="Perdant"/>
    <n v="0"/>
    <n v="1"/>
    <m/>
    <n v="28875.63"/>
    <m/>
    <m/>
    <m/>
    <m/>
    <m/>
  </r>
  <r>
    <x v="9"/>
    <n v="259442033"/>
    <s v="UsaInd"/>
    <s v="buy"/>
    <n v="0.5"/>
    <n v="28790.57"/>
    <n v="28780.57"/>
    <n v="28875.57"/>
    <d v="2020-02-04T15:38:53"/>
    <n v="28780.41"/>
    <n v="0"/>
    <n v="0"/>
    <n v="-4.5999999999999996"/>
    <n v="10"/>
    <n v="1.0200000000000031"/>
    <n v="1001.02"/>
    <x v="1"/>
    <n v="6"/>
    <d v="1900-01-02T00:00:00"/>
    <n v="15"/>
    <n v="0"/>
    <s v=""/>
    <n v="10"/>
    <n v="85"/>
    <n v="8.5"/>
    <n v="-1"/>
    <n v="1005.62"/>
    <n v="1001.02"/>
    <d v="2020-02-04T15:29:51"/>
    <n v="1010.0300000000001"/>
    <n v="0"/>
    <d v="2020-02-04T20:11:52"/>
    <n v="1011.88"/>
    <n v="0"/>
    <e v="#N/A"/>
    <n v="-4.5742924762833103E-3"/>
    <s v=""/>
    <n v="1019.44"/>
    <n v="1001.02"/>
    <n v="-1.8068743623950501E-2"/>
    <n v="-10.199999999999999"/>
    <s v=""/>
    <n v="-10.199999999999999"/>
    <n v="2.100000000000005"/>
    <n v="0"/>
    <n v="1"/>
    <s v="Non conforme"/>
    <m/>
    <m/>
    <n v="0"/>
    <n v="0"/>
    <n v="0"/>
    <s v="Non"/>
    <s v="Non"/>
    <s v="Non"/>
    <n v="1.1048"/>
    <n v="12.956947523347461"/>
    <n v="0"/>
    <s v="--"/>
    <s v="Perdant"/>
    <n v="0"/>
    <n v="1"/>
    <m/>
    <n v="28875.57"/>
    <m/>
    <m/>
    <m/>
    <m/>
    <m/>
  </r>
  <r>
    <x v="10"/>
    <n v="259442356"/>
    <s v="UsaInd"/>
    <s v="buy"/>
    <n v="0.5"/>
    <n v="28787.69"/>
    <n v="28822.69"/>
    <n v="28877.69"/>
    <d v="2020-02-04T15:55:36"/>
    <n v="28822.68"/>
    <n v="0"/>
    <n v="0"/>
    <n v="15.84"/>
    <n v="11"/>
    <n v="16.860000000000003"/>
    <n v="1016.86"/>
    <x v="1"/>
    <n v="6"/>
    <d v="1900-01-02T00:00:00"/>
    <n v="15"/>
    <n v="0"/>
    <s v=""/>
    <n v="-35"/>
    <n v="90"/>
    <n v="9"/>
    <n v="3.5"/>
    <n v="1001.02"/>
    <n v="1016.86"/>
    <d v="2020-02-04T15:29:51"/>
    <n v="1010.0300000000001"/>
    <n v="0"/>
    <d v="2020-02-04T20:11:52"/>
    <n v="1011.88"/>
    <n v="0"/>
    <e v="#N/A"/>
    <n v="1.5823859663143626E-2"/>
    <s v=""/>
    <n v="1019.44"/>
    <n v="1016.86"/>
    <n v="-2.5308012242015732E-3"/>
    <n v="35"/>
    <n v="35"/>
    <s v=""/>
    <n v="37.100000000000009"/>
    <n v="0"/>
    <n v="1"/>
    <s v="Non conforme"/>
    <m/>
    <m/>
    <n v="0"/>
    <n v="0"/>
    <n v="0"/>
    <s v="Oui"/>
    <s v="Oui"/>
    <s v="Non"/>
    <n v="1.1048"/>
    <n v="13.015186674689572"/>
    <n v="0"/>
    <s v="+"/>
    <s v="Gagnant"/>
    <n v="1"/>
    <n v="0"/>
    <m/>
    <n v="28877.69"/>
    <m/>
    <m/>
    <m/>
    <m/>
    <m/>
  </r>
  <r>
    <x v="11"/>
    <n v="259451567"/>
    <s v="UsaInd"/>
    <s v="buy"/>
    <n v="0.5"/>
    <n v="28830.68"/>
    <n v="28832.18"/>
    <n v="28911.88"/>
    <d v="2020-02-04T17:14:06"/>
    <n v="28831.56"/>
    <n v="0"/>
    <n v="0"/>
    <n v="0.4"/>
    <n v="12"/>
    <n v="17.260000000000002"/>
    <n v="1017.26"/>
    <x v="1"/>
    <n v="6"/>
    <d v="1900-01-02T00:00:00"/>
    <n v="17"/>
    <n v="0"/>
    <s v=""/>
    <n v="-1.5"/>
    <n v="81.2"/>
    <n v="8.1"/>
    <n v="0.1"/>
    <n v="1016.86"/>
    <n v="1017.26"/>
    <d v="2020-02-04T15:29:51"/>
    <n v="1010.0300000000001"/>
    <n v="0"/>
    <d v="2020-02-04T20:11:52"/>
    <n v="1011.88"/>
    <n v="0"/>
    <e v="#N/A"/>
    <n v="3.9336781857873972E-4"/>
    <s v=""/>
    <n v="1019.44"/>
    <n v="1017.26"/>
    <n v="-2.1384289413796109E-3"/>
    <n v="0.9"/>
    <n v="0.9"/>
    <s v=""/>
    <n v="38.000000000000007"/>
    <n v="0"/>
    <n v="1"/>
    <s v="Non conforme"/>
    <m/>
    <m/>
    <n v="0"/>
    <n v="0"/>
    <n v="0"/>
    <s v="Non"/>
    <s v="Oui"/>
    <s v="Non"/>
    <n v="1.1048"/>
    <n v="12.831577773966265"/>
    <n v="0"/>
    <s v="0"/>
    <s v="Gagnant"/>
    <n v="1"/>
    <n v="0"/>
    <m/>
    <n v="28911.88"/>
    <m/>
    <m/>
    <m/>
    <m/>
    <m/>
  </r>
  <r>
    <x v="12"/>
    <n v="259453017"/>
    <s v="UsaInd"/>
    <s v="sell"/>
    <n v="0.5"/>
    <n v="28874.5"/>
    <n v="28884.5"/>
    <n v="28874.49"/>
    <d v="2020-02-04T17:29:12"/>
    <n v="28884.79"/>
    <n v="0"/>
    <n v="0"/>
    <n v="-4.67"/>
    <n v="13"/>
    <n v="12.590000000000002"/>
    <n v="1012.59"/>
    <x v="1"/>
    <n v="6"/>
    <d v="1900-01-02T00:00:00"/>
    <n v="17"/>
    <n v="0"/>
    <s v=""/>
    <n v="10"/>
    <n v="0"/>
    <n v="0"/>
    <n v="-1"/>
    <n v="1017.26"/>
    <n v="1012.59"/>
    <d v="2020-02-04T15:29:51"/>
    <n v="1010.0300000000001"/>
    <n v="0"/>
    <d v="2020-02-04T20:11:52"/>
    <n v="1011.88"/>
    <n v="0"/>
    <e v="#N/A"/>
    <n v="-4.5907634233135668E-3"/>
    <s v=""/>
    <n v="1019.44"/>
    <n v="1012.59"/>
    <n v="-6.7193753433257841E-3"/>
    <n v="-10.3"/>
    <s v=""/>
    <n v="-10.3"/>
    <n v="27.700000000000006"/>
    <n v="0"/>
    <n v="1"/>
    <s v="Non conforme"/>
    <m/>
    <m/>
    <n v="0"/>
    <n v="0"/>
    <n v="0"/>
    <s v="Non"/>
    <s v="Non"/>
    <s v="Non"/>
    <n v="1.1048"/>
    <n v="12.846027386284488"/>
    <n v="0"/>
    <s v="--"/>
    <s v="Perdant"/>
    <n v="0"/>
    <n v="1"/>
    <m/>
    <n v="28874.49"/>
    <m/>
    <m/>
    <m/>
    <m/>
    <m/>
  </r>
  <r>
    <x v="13"/>
    <n v="259453265"/>
    <s v="UsaInd"/>
    <s v="sell"/>
    <n v="0.5"/>
    <n v="28872.53"/>
    <n v="28882.53"/>
    <n v="28828.19"/>
    <d v="2020-02-04T17:31:18"/>
    <n v="28882.75"/>
    <n v="0"/>
    <n v="0"/>
    <n v="-4.63"/>
    <n v="14"/>
    <n v="7.9600000000000017"/>
    <n v="1007.96"/>
    <x v="1"/>
    <n v="6"/>
    <d v="1900-01-02T00:00:00"/>
    <n v="17"/>
    <n v="0"/>
    <s v=""/>
    <n v="10"/>
    <n v="44.3"/>
    <n v="4.4000000000000004"/>
    <n v="-1"/>
    <n v="1012.59"/>
    <n v="1007.96"/>
    <d v="2020-02-04T15:29:51"/>
    <n v="1010.0300000000001"/>
    <n v="0"/>
    <d v="2020-02-04T20:11:52"/>
    <n v="1011.88"/>
    <n v="0"/>
    <e v="#N/A"/>
    <n v="-4.57243306767793E-3"/>
    <s v=""/>
    <n v="1019.44"/>
    <n v="1007.96"/>
    <n v="-1.1261084516989706E-2"/>
    <n v="-10.199999999999999"/>
    <s v=""/>
    <n v="-10.199999999999999"/>
    <n v="17.500000000000007"/>
    <n v="0"/>
    <n v="1"/>
    <s v="Non conforme"/>
    <m/>
    <m/>
    <n v="0"/>
    <n v="0"/>
    <n v="0"/>
    <s v="Non"/>
    <s v="Non"/>
    <s v="Non"/>
    <n v="1.1048"/>
    <n v="12.904391960109976"/>
    <n v="0"/>
    <s v="--"/>
    <s v="Perdant"/>
    <n v="0"/>
    <n v="1"/>
    <m/>
    <n v="28828.19"/>
    <m/>
    <m/>
    <m/>
    <m/>
    <m/>
  </r>
  <r>
    <x v="14"/>
    <n v="259453387"/>
    <s v="UsaInd"/>
    <s v="sell"/>
    <n v="0.5"/>
    <n v="28879.56"/>
    <n v="28889.56"/>
    <m/>
    <d v="2020-02-04T17:31:57"/>
    <n v="28889.84"/>
    <n v="0"/>
    <n v="0"/>
    <n v="-4.66"/>
    <n v="15"/>
    <n v="3.3000000000000016"/>
    <n v="1003.3"/>
    <x v="1"/>
    <n v="6"/>
    <d v="1900-01-02T00:00:00"/>
    <n v="17"/>
    <n v="0"/>
    <s v=""/>
    <n v="10"/>
    <n v="200"/>
    <n v="20"/>
    <n v="-1"/>
    <n v="1007.9599999999999"/>
    <n v="1003.3"/>
    <d v="2020-02-04T15:29:51"/>
    <n v="1010.0300000000001"/>
    <n v="0"/>
    <d v="2020-02-04T20:11:52"/>
    <n v="1011.88"/>
    <n v="0"/>
    <e v="#N/A"/>
    <n v="-4.6231993333068462E-3"/>
    <s v=""/>
    <n v="1019.44"/>
    <n v="1003.3"/>
    <n v="-1.5832221611865482E-2"/>
    <n v="-10.3"/>
    <s v=""/>
    <n v="-10.3"/>
    <n v="7.2000000000000064"/>
    <n v="0"/>
    <n v="1"/>
    <s v="Non conforme"/>
    <m/>
    <m/>
    <n v="0"/>
    <n v="0"/>
    <n v="0"/>
    <s v="Non"/>
    <s v="Non"/>
    <s v="Non"/>
    <n v="1.1048"/>
    <n v="12.966823907905958"/>
    <n v="0"/>
    <s v="--"/>
    <s v="Perdant"/>
    <n v="0"/>
    <n v="1"/>
    <m/>
    <s v=""/>
    <m/>
    <m/>
    <m/>
    <m/>
    <m/>
  </r>
  <r>
    <x v="15"/>
    <n v="259453447"/>
    <s v="UsaInd"/>
    <s v="buy"/>
    <n v="0.5"/>
    <n v="28889.8"/>
    <n v="28879.8"/>
    <n v="28919.8"/>
    <d v="2020-02-04T17:44:13"/>
    <n v="28879.759999999998"/>
    <n v="0"/>
    <n v="0"/>
    <n v="-4.55"/>
    <n v="16"/>
    <n v="-1.2499999999999982"/>
    <n v="998.75"/>
    <x v="1"/>
    <n v="6"/>
    <d v="1900-01-02T00:00:00"/>
    <n v="17"/>
    <n v="0"/>
    <s v=""/>
    <n v="10"/>
    <n v="30"/>
    <n v="3"/>
    <n v="-1"/>
    <n v="1003.3"/>
    <n v="998.75"/>
    <d v="2020-02-04T15:29:51"/>
    <n v="1010.0300000000001"/>
    <n v="0"/>
    <d v="2020-02-04T20:11:52"/>
    <n v="1011.88"/>
    <n v="0"/>
    <e v="#N/A"/>
    <n v="-4.5350343865244239E-3"/>
    <s v=""/>
    <n v="1019.44"/>
    <n v="998.75"/>
    <n v="-2.0295456328965011E-2"/>
    <n v="-10"/>
    <s v=""/>
    <n v="-10"/>
    <n v="-2.7999999999999936"/>
    <n v="0"/>
    <n v="1"/>
    <s v="Non conforme"/>
    <m/>
    <m/>
    <n v="0"/>
    <n v="0"/>
    <n v="0"/>
    <s v="Non"/>
    <s v="Non"/>
    <s v="Non"/>
    <n v="1.1048"/>
    <n v="13.031669639357393"/>
    <n v="0"/>
    <s v="--"/>
    <s v="Perdant"/>
    <n v="0"/>
    <n v="1"/>
    <m/>
    <n v="28919.8"/>
    <m/>
    <m/>
    <m/>
    <m/>
    <m/>
  </r>
  <r>
    <x v="16"/>
    <n v="259454433"/>
    <s v="UsaInd"/>
    <s v="sell"/>
    <n v="0.5"/>
    <n v="28877.56"/>
    <n v="28887.56"/>
    <n v="28841.43"/>
    <d v="2020-02-04T17:46:59"/>
    <n v="28887.65"/>
    <n v="0"/>
    <n v="0"/>
    <n v="-4.58"/>
    <n v="17"/>
    <n v="-5.8299999999999983"/>
    <n v="994.17"/>
    <x v="1"/>
    <n v="6"/>
    <d v="1900-01-02T00:00:00"/>
    <n v="17"/>
    <n v="0"/>
    <s v=""/>
    <n v="10"/>
    <n v="36.1"/>
    <n v="3.6"/>
    <n v="-1"/>
    <n v="998.75"/>
    <n v="994.17"/>
    <d v="2020-02-04T15:29:51"/>
    <n v="1010.0300000000001"/>
    <n v="0"/>
    <d v="2020-02-04T20:11:52"/>
    <n v="1011.88"/>
    <n v="0"/>
    <e v="#N/A"/>
    <n v="-4.5857321652065493E-3"/>
    <s v=""/>
    <n v="1019.44"/>
    <n v="994.17"/>
    <n v="-2.4788118967276285E-2"/>
    <n v="-10.1"/>
    <s v=""/>
    <n v="-10.1"/>
    <n v="-12.899999999999993"/>
    <n v="0"/>
    <n v="1"/>
    <s v="Non conforme"/>
    <m/>
    <m/>
    <n v="0"/>
    <n v="0"/>
    <n v="0"/>
    <s v="Non"/>
    <s v="Non"/>
    <s v="Non"/>
    <n v="1.1048"/>
    <n v="13.085491549447671"/>
    <n v="0"/>
    <s v="--"/>
    <s v="Perdant"/>
    <n v="0"/>
    <n v="1"/>
    <m/>
    <n v="28841.43"/>
    <m/>
    <m/>
    <m/>
    <m/>
    <m/>
  </r>
  <r>
    <x v="17"/>
    <n v="259454672"/>
    <s v="UsaInd"/>
    <s v="buy"/>
    <n v="0.5"/>
    <n v="28888.76"/>
    <n v="28878.76"/>
    <n v="28930.31"/>
    <d v="2020-02-04T17:48:09"/>
    <n v="28878.52"/>
    <n v="0"/>
    <n v="0"/>
    <n v="-4.6399999999999997"/>
    <n v="18"/>
    <n v="-10.469999999999999"/>
    <n v="989.53"/>
    <x v="1"/>
    <n v="6"/>
    <d v="1900-01-02T00:00:00"/>
    <n v="17"/>
    <n v="0"/>
    <s v=""/>
    <n v="10"/>
    <n v="41.6"/>
    <n v="4.2"/>
    <n v="-1"/>
    <n v="994.17"/>
    <n v="989.53"/>
    <d v="2020-02-04T15:29:51"/>
    <n v="1010.0300000000001"/>
    <n v="0"/>
    <d v="2020-02-04T20:11:52"/>
    <n v="1011.88"/>
    <n v="0"/>
    <e v="#N/A"/>
    <n v="-4.6672098333282903E-3"/>
    <s v=""/>
    <n v="1019.44"/>
    <n v="989.53"/>
    <n v="-2.9339637448010714E-2"/>
    <n v="-10.199999999999999"/>
    <s v=""/>
    <n v="-10.199999999999999"/>
    <n v="-23.099999999999994"/>
    <n v="0"/>
    <n v="1"/>
    <s v="Non conforme"/>
    <m/>
    <m/>
    <n v="0"/>
    <n v="0"/>
    <n v="0"/>
    <s v="Non"/>
    <s v="Non"/>
    <s v="Non"/>
    <n v="1.1048"/>
    <n v="13.150873065715336"/>
    <n v="0"/>
    <s v="--"/>
    <s v="Perdant"/>
    <n v="0"/>
    <n v="1"/>
    <m/>
    <n v="28930.31"/>
    <m/>
    <m/>
    <m/>
    <m/>
    <m/>
  </r>
  <r>
    <x v="18"/>
    <n v="259454753"/>
    <s v="UsaInd"/>
    <s v="sell"/>
    <n v="0.5"/>
    <n v="28877.58"/>
    <n v="28887.58"/>
    <n v="28792.58"/>
    <d v="2020-02-04T18:04:57"/>
    <n v="28887.86"/>
    <n v="0"/>
    <n v="0"/>
    <n v="-4.6500000000000004"/>
    <n v="19"/>
    <n v="-15.12"/>
    <n v="984.88"/>
    <x v="1"/>
    <n v="6"/>
    <d v="1900-01-02T00:00:00"/>
    <n v="18"/>
    <n v="0"/>
    <s v=""/>
    <n v="10"/>
    <n v="85"/>
    <n v="8.5"/>
    <n v="-1"/>
    <n v="989.53"/>
    <n v="984.88"/>
    <d v="2020-02-04T15:29:51"/>
    <n v="1010.0300000000001"/>
    <n v="0"/>
    <d v="2020-02-04T20:11:52"/>
    <n v="1011.88"/>
    <n v="0"/>
    <e v="#N/A"/>
    <n v="-4.6992006306023843E-3"/>
    <s v=""/>
    <n v="1019.44"/>
    <n v="984.88"/>
    <n v="-3.3900965235815761E-2"/>
    <n v="-10.3"/>
    <s v=""/>
    <n v="-10.3"/>
    <n v="-33.399999999999991"/>
    <n v="0"/>
    <n v="1"/>
    <s v="Non conforme"/>
    <m/>
    <m/>
    <n v="0"/>
    <n v="0"/>
    <n v="0"/>
    <s v="Non"/>
    <s v="Non"/>
    <s v="Non"/>
    <n v="1.1048"/>
    <n v="13.207425481211164"/>
    <n v="0"/>
    <s v="--"/>
    <s v="Perdant"/>
    <n v="0"/>
    <n v="1"/>
    <m/>
    <n v="28792.58"/>
    <m/>
    <m/>
    <m/>
    <m/>
    <m/>
  </r>
  <r>
    <x v="19"/>
    <n v="259456028"/>
    <s v="UsaInd"/>
    <s v="sell"/>
    <n v="0.5"/>
    <n v="28878.58"/>
    <n v="28888.58"/>
    <m/>
    <d v="2020-02-04T18:07:21"/>
    <n v="28888.79"/>
    <n v="0"/>
    <n v="0"/>
    <n v="-4.63"/>
    <n v="20"/>
    <n v="-19.75"/>
    <n v="980.25"/>
    <x v="1"/>
    <n v="6"/>
    <d v="1900-01-02T00:00:00"/>
    <n v="18"/>
    <n v="0"/>
    <s v=""/>
    <n v="10"/>
    <n v="200"/>
    <n v="20"/>
    <n v="-1"/>
    <n v="984.88"/>
    <n v="980.25"/>
    <d v="2020-02-04T15:29:51"/>
    <n v="1010.0300000000001"/>
    <n v="0"/>
    <d v="2020-02-04T20:11:52"/>
    <n v="1011.88"/>
    <n v="0"/>
    <e v="#N/A"/>
    <n v="-4.7010803346600556E-3"/>
    <s v=""/>
    <n v="1019.44"/>
    <n v="980.25"/>
    <n v="-3.8442674409479793E-2"/>
    <n v="-10.199999999999999"/>
    <s v=""/>
    <n v="-10.199999999999999"/>
    <n v="-43.599999999999994"/>
    <n v="0"/>
    <n v="1"/>
    <s v="Non conforme"/>
    <m/>
    <m/>
    <n v="0"/>
    <n v="0"/>
    <n v="0"/>
    <s v="Non"/>
    <s v="Non"/>
    <s v="Non"/>
    <n v="1.1048"/>
    <n v="13.270242371683754"/>
    <n v="0"/>
    <s v="--"/>
    <s v="Perdant"/>
    <n v="0"/>
    <n v="1"/>
    <m/>
    <s v=""/>
    <m/>
    <m/>
    <m/>
    <m/>
    <m/>
  </r>
  <r>
    <x v="20"/>
    <n v="259456099"/>
    <s v="UsaInd"/>
    <s v="sell"/>
    <n v="0.5"/>
    <n v="28885.53"/>
    <n v="28895.53"/>
    <n v="28785.53"/>
    <d v="2020-02-04T18:12:08"/>
    <n v="28895.8"/>
    <n v="0"/>
    <n v="0"/>
    <n v="-4.6500000000000004"/>
    <n v="21"/>
    <n v="-24.4"/>
    <n v="975.6"/>
    <x v="1"/>
    <n v="6"/>
    <d v="1900-01-02T00:00:00"/>
    <n v="18"/>
    <n v="0"/>
    <s v=""/>
    <n v="10"/>
    <n v="100"/>
    <n v="10"/>
    <n v="-1"/>
    <n v="980.25"/>
    <n v="975.6"/>
    <d v="2020-02-04T15:29:51"/>
    <n v="1010.0300000000001"/>
    <n v="0"/>
    <d v="2020-02-04T20:11:52"/>
    <n v="1011.88"/>
    <n v="0"/>
    <e v="#N/A"/>
    <n v="-4.7436878347360137E-3"/>
    <s v=""/>
    <n v="1019.44"/>
    <n v="975.6"/>
    <n v="-4.3004002197284841E-2"/>
    <n v="-10.3"/>
    <s v=""/>
    <n v="-10.3"/>
    <n v="-53.899999999999991"/>
    <n v="0"/>
    <n v="1"/>
    <s v="Non conforme"/>
    <m/>
    <m/>
    <n v="0"/>
    <n v="0"/>
    <n v="0"/>
    <s v="Non"/>
    <s v="Non"/>
    <s v="Non"/>
    <n v="1.1048"/>
    <n v="13.336130245040492"/>
    <n v="0"/>
    <s v="--"/>
    <s v="Perdant"/>
    <n v="0"/>
    <n v="1"/>
    <m/>
    <n v="28785.53"/>
    <m/>
    <m/>
    <m/>
    <m/>
    <m/>
  </r>
  <r>
    <x v="21"/>
    <n v="259456360"/>
    <s v="UsaInd"/>
    <s v="sell"/>
    <n v="0.5"/>
    <n v="28893.53"/>
    <n v="28903.53"/>
    <n v="28743.53"/>
    <d v="2020-02-04T18:17:24"/>
    <n v="28903.85"/>
    <n v="0"/>
    <n v="0"/>
    <n v="-4.67"/>
    <n v="22"/>
    <n v="-29.07"/>
    <n v="970.93"/>
    <x v="1"/>
    <n v="6"/>
    <d v="1900-01-02T00:00:00"/>
    <n v="18"/>
    <n v="0"/>
    <s v=""/>
    <n v="10"/>
    <n v="150"/>
    <n v="15"/>
    <n v="-1"/>
    <n v="975.59999999999991"/>
    <n v="970.93"/>
    <d v="2020-02-04T15:29:51"/>
    <n v="1010.0300000000001"/>
    <n v="0"/>
    <d v="2020-02-04T20:11:52"/>
    <n v="1011.88"/>
    <n v="0"/>
    <e v="#N/A"/>
    <n v="-4.7867978679786384E-3"/>
    <s v=""/>
    <n v="1019.44"/>
    <n v="970.93"/>
    <n v="-4.7584948599231014E-2"/>
    <n v="-10.3"/>
    <s v=""/>
    <n v="-10.3"/>
    <n v="-64.199999999999989"/>
    <n v="0"/>
    <n v="1"/>
    <s v="Non conforme"/>
    <m/>
    <m/>
    <n v="0"/>
    <n v="0"/>
    <n v="0"/>
    <s v="Non"/>
    <s v="Non"/>
    <s v="Non"/>
    <n v="1.1048"/>
    <n v="13.403405327500053"/>
    <n v="0"/>
    <s v="--"/>
    <s v="Perdant"/>
    <n v="0"/>
    <n v="1"/>
    <m/>
    <n v="28743.53"/>
    <m/>
    <m/>
    <m/>
    <m/>
    <m/>
  </r>
  <r>
    <x v="22"/>
    <n v="259457039"/>
    <s v="UsaInd"/>
    <s v="sell"/>
    <n v="0.5"/>
    <n v="28894.639999999999"/>
    <n v="28904.639999999999"/>
    <n v="28784.240000000002"/>
    <d v="2020-02-04T20:11:38"/>
    <n v="28904.81"/>
    <n v="0"/>
    <n v="0"/>
    <n v="-4.6100000000000003"/>
    <n v="23"/>
    <n v="-33.68"/>
    <n v="966.32"/>
    <x v="1"/>
    <n v="6"/>
    <d v="1900-01-02T00:00:00"/>
    <n v="20"/>
    <n v="0"/>
    <s v=""/>
    <n v="10"/>
    <n v="110.4"/>
    <n v="11"/>
    <n v="-1"/>
    <n v="970.93000000000006"/>
    <n v="966.32"/>
    <d v="2020-02-04T15:29:51"/>
    <n v="1010.0300000000001"/>
    <n v="0"/>
    <d v="2020-02-04T20:11:52"/>
    <n v="1011.88"/>
    <n v="0"/>
    <e v="#N/A"/>
    <n v="-4.7480250893473406E-3"/>
    <s v=""/>
    <n v="1019.44"/>
    <n v="966.32"/>
    <n v="-5.210703915875381E-2"/>
    <n v="-10.199999999999999"/>
    <s v=""/>
    <n v="-10.199999999999999"/>
    <n v="-74.399999999999991"/>
    <n v="0"/>
    <n v="1"/>
    <s v="Non conforme"/>
    <m/>
    <m/>
    <n v="0"/>
    <n v="0"/>
    <n v="0"/>
    <s v="Non"/>
    <s v="Non"/>
    <s v="Non"/>
    <n v="1.1048"/>
    <n v="13.46839070878042"/>
    <n v="0"/>
    <s v="--"/>
    <s v="Perdant"/>
    <n v="0"/>
    <n v="1"/>
    <m/>
    <n v="28784.240000000002"/>
    <m/>
    <m/>
    <m/>
    <m/>
    <m/>
  </r>
  <r>
    <x v="23"/>
    <n v="259463422"/>
    <s v="UsaInd"/>
    <s v="sell"/>
    <n v="0.5"/>
    <n v="28903.69"/>
    <n v="28913.69"/>
    <n v="28803.69"/>
    <d v="2020-02-04T21:56:48"/>
    <n v="28803.05"/>
    <n v="0"/>
    <n v="0"/>
    <n v="45.56"/>
    <n v="24"/>
    <n v="11.880000000000003"/>
    <n v="1011.8799999999999"/>
    <x v="1"/>
    <n v="6"/>
    <d v="1900-01-02T00:00:00"/>
    <n v="21"/>
    <n v="0"/>
    <s v=""/>
    <n v="10"/>
    <n v="100"/>
    <n v="10"/>
    <n v="10.1"/>
    <n v="966.31999999999994"/>
    <n v="1011.88"/>
    <d v="2020-02-04T15:29:51"/>
    <n v="1010.0300000000001"/>
    <n v="0"/>
    <d v="2020-02-04T20:11:52"/>
    <n v="1011.88"/>
    <n v="1011.88"/>
    <n v="1011.88"/>
    <n v="4.7147942710489346E-2"/>
    <s v=""/>
    <n v="1019.44"/>
    <n v="1011.8799999999999"/>
    <n v="-7.4158361453348087E-3"/>
    <n v="100.6"/>
    <n v="100.6"/>
    <s v=""/>
    <n v="26.200000000000003"/>
    <n v="0"/>
    <n v="1"/>
    <s v="Non conforme"/>
    <m/>
    <m/>
    <n v="0"/>
    <n v="0"/>
    <n v="0"/>
    <s v="Non"/>
    <s v="Non"/>
    <s v="Oui"/>
    <n v="1.1048"/>
    <n v="13.536882559416499"/>
    <n v="0"/>
    <s v="++"/>
    <s v="Gagnant"/>
    <n v="1"/>
    <n v="0"/>
    <m/>
    <n v="28803.69"/>
    <m/>
    <m/>
    <m/>
    <m/>
    <m/>
  </r>
  <r>
    <x v="24"/>
    <n v="259507137"/>
    <s v="UsaInd"/>
    <s v="buy"/>
    <n v="0.5"/>
    <n v="29138.34"/>
    <n v="29128.34"/>
    <m/>
    <d v="2020-02-05T16:02:27"/>
    <n v="29128.29"/>
    <n v="0"/>
    <n v="0"/>
    <n v="-4.57"/>
    <n v="25"/>
    <n v="7.3100000000000023"/>
    <n v="1007.31"/>
    <x v="2"/>
    <n v="6"/>
    <d v="1900-01-03T00:00:00"/>
    <n v="16"/>
    <n v="1"/>
    <n v="20"/>
    <n v="10"/>
    <n v="200"/>
    <n v="20"/>
    <n v="-1"/>
    <n v="1011.88"/>
    <n v="1007.31"/>
    <d v="2020-02-05T16:01:54"/>
    <n v="1011.88"/>
    <n v="1011.88"/>
    <d v="2020-02-05T16:42:05"/>
    <n v="1017.63"/>
    <n v="0"/>
    <e v="#N/A"/>
    <n v="-4.5163458117563841E-3"/>
    <n v="5.6824919950982334E-3"/>
    <n v="1019.44"/>
    <n v="1007.31"/>
    <n v="-1.1898689476575464E-2"/>
    <n v="-10"/>
    <s v=""/>
    <n v="-10"/>
    <n v="16.200000000000003"/>
    <n v="0"/>
    <n v="1"/>
    <s v="Non conforme"/>
    <m/>
    <m/>
    <n v="0"/>
    <n v="0"/>
    <n v="0"/>
    <s v="Non"/>
    <s v="Non"/>
    <s v="Non"/>
    <n v="1.1023000000000001"/>
    <n v="13.061889077813634"/>
    <n v="0"/>
    <s v="--"/>
    <s v="Perdant"/>
    <n v="0"/>
    <n v="1"/>
    <m/>
    <s v=""/>
    <m/>
    <m/>
    <m/>
    <m/>
    <m/>
  </r>
  <r>
    <x v="25"/>
    <n v="259507198"/>
    <s v="UsaInd"/>
    <s v="buy"/>
    <n v="0.5"/>
    <n v="29135.11"/>
    <n v="29125.11"/>
    <n v="29185.11"/>
    <d v="2020-02-05T16:03:15"/>
    <n v="29124.959999999999"/>
    <n v="0"/>
    <n v="0"/>
    <n v="-4.62"/>
    <n v="26"/>
    <n v="2.6900000000000022"/>
    <n v="1002.69"/>
    <x v="2"/>
    <n v="6"/>
    <d v="1900-01-03T00:00:00"/>
    <n v="16"/>
    <n v="0"/>
    <s v=""/>
    <n v="10"/>
    <n v="50"/>
    <n v="5"/>
    <n v="-1"/>
    <n v="1007.3100000000001"/>
    <n v="1002.69"/>
    <d v="2020-02-05T16:01:54"/>
    <n v="1011.88"/>
    <n v="0"/>
    <d v="2020-02-05T16:42:05"/>
    <n v="1017.63"/>
    <n v="0"/>
    <e v="#N/A"/>
    <n v="-4.5864728832236395E-3"/>
    <s v=""/>
    <n v="1019.44"/>
    <n v="1002.69"/>
    <n v="-1.6430589343168767E-2"/>
    <n v="-10.199999999999999"/>
    <s v=""/>
    <n v="-10.199999999999999"/>
    <n v="6.0000000000000036"/>
    <n v="0"/>
    <n v="1"/>
    <s v="Non conforme"/>
    <m/>
    <m/>
    <n v="0"/>
    <n v="0"/>
    <n v="0"/>
    <s v="Non"/>
    <s v="Non"/>
    <s v="Non"/>
    <n v="1.1023000000000001"/>
    <n v="13.119694236798241"/>
    <n v="0"/>
    <s v="--"/>
    <s v="Perdant"/>
    <n v="0"/>
    <n v="1"/>
    <m/>
    <n v="29185.11"/>
    <m/>
    <m/>
    <m/>
    <m/>
    <m/>
  </r>
  <r>
    <x v="26"/>
    <n v="259507324"/>
    <s v="UsaInd"/>
    <s v="buy"/>
    <n v="0.5"/>
    <n v="29136.2"/>
    <n v="29126.2"/>
    <n v="29186.2"/>
    <d v="2020-02-05T16:04:03"/>
    <n v="29125.99"/>
    <n v="0"/>
    <n v="0"/>
    <n v="-4.6500000000000004"/>
    <n v="27"/>
    <n v="-1.9599999999999982"/>
    <n v="998.04"/>
    <x v="2"/>
    <n v="6"/>
    <d v="1900-01-03T00:00:00"/>
    <n v="16"/>
    <n v="0"/>
    <s v=""/>
    <n v="10"/>
    <n v="50"/>
    <n v="5"/>
    <n v="-1"/>
    <n v="1002.6899999999999"/>
    <n v="998.04"/>
    <d v="2020-02-05T16:01:54"/>
    <n v="1011.88"/>
    <n v="0"/>
    <d v="2020-02-05T16:42:05"/>
    <n v="1017.63"/>
    <n v="0"/>
    <e v="#N/A"/>
    <n v="-4.6375250575950468E-3"/>
    <s v=""/>
    <n v="1019.44"/>
    <n v="998.04"/>
    <n v="-2.0991917130973925E-2"/>
    <n v="-10.199999999999999"/>
    <s v=""/>
    <n v="-10.199999999999999"/>
    <n v="-4.1999999999999957"/>
    <n v="0"/>
    <n v="1"/>
    <s v="Non conforme"/>
    <m/>
    <m/>
    <n v="0"/>
    <n v="0"/>
    <n v="0"/>
    <s v="Non"/>
    <s v="Non"/>
    <s v="Non"/>
    <n v="1.1023000000000001"/>
    <n v="13.180637706994023"/>
    <n v="0"/>
    <s v="--"/>
    <s v="Perdant"/>
    <n v="0"/>
    <n v="1"/>
    <m/>
    <n v="29186.2"/>
    <m/>
    <m/>
    <m/>
    <m/>
    <m/>
  </r>
  <r>
    <x v="27"/>
    <n v="259507367"/>
    <s v="UsaInd"/>
    <s v="buy"/>
    <n v="0.5"/>
    <n v="29130.26"/>
    <n v="29121.26"/>
    <n v="29182.31"/>
    <d v="2020-02-05T16:04:12"/>
    <n v="29121.09"/>
    <n v="0"/>
    <n v="0"/>
    <n v="-4.17"/>
    <n v="28"/>
    <n v="-6.1299999999999981"/>
    <n v="993.87"/>
    <x v="2"/>
    <n v="6"/>
    <d v="1900-01-03T00:00:00"/>
    <n v="16"/>
    <n v="0"/>
    <s v=""/>
    <n v="9"/>
    <n v="52.1"/>
    <n v="5.8"/>
    <n v="-0.9"/>
    <n v="998.04"/>
    <n v="993.87"/>
    <d v="2020-02-05T16:01:54"/>
    <n v="1011.88"/>
    <n v="0"/>
    <d v="2020-02-05T16:42:05"/>
    <n v="1017.63"/>
    <n v="0"/>
    <e v="#N/A"/>
    <n v="-4.1781892509317855E-3"/>
    <s v=""/>
    <n v="1019.44"/>
    <n v="993.87"/>
    <n v="-2.5082398179392618E-2"/>
    <n v="-9.1999999999999993"/>
    <s v=""/>
    <n v="-9.1999999999999993"/>
    <n v="-13.399999999999995"/>
    <n v="0"/>
    <n v="1"/>
    <s v="Non conforme"/>
    <m/>
    <m/>
    <n v="0"/>
    <n v="0"/>
    <n v="0"/>
    <s v="Non"/>
    <s v="Non"/>
    <s v="Non"/>
    <n v="1.1023000000000001"/>
    <n v="13.23934837892357"/>
    <n v="0"/>
    <s v="--"/>
    <s v="Perdant"/>
    <n v="0"/>
    <n v="1"/>
    <m/>
    <n v="29182.31"/>
    <m/>
    <m/>
    <m/>
    <m/>
    <m/>
  </r>
  <r>
    <x v="28"/>
    <n v="259507398"/>
    <s v="UsaInd"/>
    <s v="buy"/>
    <n v="0.5"/>
    <n v="29119.18"/>
    <n v="29110.13"/>
    <n v="29269.18"/>
    <d v="2020-02-05T16:08:12"/>
    <n v="29109.01"/>
    <n v="0"/>
    <n v="0"/>
    <n v="-4.63"/>
    <n v="29"/>
    <n v="-10.759999999999998"/>
    <n v="989.24"/>
    <x v="2"/>
    <n v="6"/>
    <d v="1900-01-03T00:00:00"/>
    <n v="16"/>
    <n v="0"/>
    <s v=""/>
    <n v="9"/>
    <n v="150"/>
    <n v="16.7"/>
    <n v="-1"/>
    <n v="993.87"/>
    <n v="989.24"/>
    <d v="2020-02-05T16:01:54"/>
    <n v="1011.88"/>
    <n v="0"/>
    <d v="2020-02-05T16:42:05"/>
    <n v="1017.63"/>
    <n v="0"/>
    <e v="#N/A"/>
    <n v="-4.6585569541288049E-3"/>
    <s v=""/>
    <n v="1019.44"/>
    <n v="989.24"/>
    <n v="-2.962410735305665E-2"/>
    <n v="-10.199999999999999"/>
    <s v=""/>
    <n v="-10.199999999999999"/>
    <n v="-23.599999999999994"/>
    <n v="0"/>
    <n v="1"/>
    <s v="Non conforme"/>
    <m/>
    <m/>
    <n v="0"/>
    <n v="0"/>
    <n v="0"/>
    <s v="Non"/>
    <s v="Non"/>
    <s v="Non"/>
    <n v="1.1023000000000001"/>
    <n v="13.289840121012293"/>
    <n v="0"/>
    <s v="--"/>
    <s v="Perdant"/>
    <n v="0"/>
    <n v="1"/>
    <m/>
    <n v="29269.18"/>
    <m/>
    <m/>
    <m/>
    <m/>
    <m/>
  </r>
  <r>
    <x v="29"/>
    <n v="259507810"/>
    <s v="UsaInd"/>
    <s v="buy"/>
    <n v="0.5"/>
    <n v="29109.16"/>
    <n v="29100.02"/>
    <n v="29275.17"/>
    <d v="2020-02-05T16:09:53"/>
    <n v="29100.02"/>
    <n v="0"/>
    <n v="0"/>
    <n v="-4.1500000000000004"/>
    <n v="30"/>
    <n v="-14.909999999999998"/>
    <n v="985.09"/>
    <x v="2"/>
    <n v="6"/>
    <d v="1900-01-03T00:00:00"/>
    <n v="16"/>
    <n v="0"/>
    <s v=""/>
    <n v="9.1"/>
    <n v="166"/>
    <n v="18.2"/>
    <n v="-0.9"/>
    <n v="989.24"/>
    <n v="985.09"/>
    <d v="2020-02-05T16:01:54"/>
    <n v="1011.88"/>
    <n v="0"/>
    <d v="2020-02-05T16:42:05"/>
    <n v="1017.63"/>
    <n v="0"/>
    <e v="#N/A"/>
    <n v="-4.1951397032064788E-3"/>
    <s v=""/>
    <n v="1019.44"/>
    <n v="985.09"/>
    <n v="-3.3694969787334217E-2"/>
    <n v="-9.1"/>
    <s v=""/>
    <n v="-9.1"/>
    <n v="-32.699999999999996"/>
    <n v="0"/>
    <n v="1"/>
    <s v="Non conforme"/>
    <m/>
    <m/>
    <n v="0"/>
    <n v="0"/>
    <n v="0"/>
    <s v="Non"/>
    <s v="Non"/>
    <s v="Non"/>
    <n v="1.1023000000000001"/>
    <n v="13.347446887394327"/>
    <n v="0"/>
    <s v="--"/>
    <s v="Perdant"/>
    <n v="0"/>
    <n v="1"/>
    <m/>
    <n v="29275.17"/>
    <m/>
    <m/>
    <m/>
    <m/>
    <m/>
  </r>
  <r>
    <x v="30"/>
    <n v="259507965"/>
    <s v="UsaInd"/>
    <s v="buy"/>
    <n v="0.5"/>
    <n v="29105.01"/>
    <n v="29094.33"/>
    <m/>
    <d v="2020-02-05T16:10:22"/>
    <n v="29094.07"/>
    <n v="0"/>
    <n v="0"/>
    <n v="-4.97"/>
    <n v="31"/>
    <n v="-19.88"/>
    <n v="980.12"/>
    <x v="2"/>
    <n v="6"/>
    <d v="1900-01-03T00:00:00"/>
    <n v="16"/>
    <n v="0"/>
    <s v=""/>
    <n v="10.7"/>
    <n v="200"/>
    <n v="18.7"/>
    <n v="-1.1000000000000001"/>
    <n v="985.09"/>
    <n v="980.12"/>
    <d v="2020-02-05T16:01:54"/>
    <n v="1011.88"/>
    <n v="0"/>
    <d v="2020-02-05T16:42:05"/>
    <n v="1017.63"/>
    <n v="0"/>
    <e v="#N/A"/>
    <n v="-5.045224294226951E-3"/>
    <s v=""/>
    <n v="1019.44"/>
    <n v="980.12"/>
    <n v="-3.8570195401396945E-2"/>
    <n v="-10.9"/>
    <s v=""/>
    <n v="-10.9"/>
    <n v="-43.599999999999994"/>
    <n v="0"/>
    <n v="1"/>
    <s v="Non conforme"/>
    <m/>
    <m/>
    <n v="0"/>
    <n v="0"/>
    <n v="0"/>
    <s v="Non"/>
    <s v="Non"/>
    <s v="Non"/>
    <n v="1.1023000000000001"/>
    <n v="13.401766266264694"/>
    <n v="0"/>
    <s v="--"/>
    <s v="Perdant"/>
    <n v="0"/>
    <n v="1"/>
    <m/>
    <s v=""/>
    <m/>
    <m/>
    <m/>
    <m/>
    <m/>
  </r>
  <r>
    <x v="31"/>
    <n v="259508057"/>
    <s v="UsaInd"/>
    <s v="buy"/>
    <n v="0.5"/>
    <n v="29088.35"/>
    <n v="29078.98"/>
    <n v="29268.35"/>
    <d v="2020-02-05T16:13:44"/>
    <n v="29078.98"/>
    <n v="0"/>
    <n v="0"/>
    <n v="-4.26"/>
    <n v="32"/>
    <n v="-24.14"/>
    <n v="975.86"/>
    <x v="2"/>
    <n v="6"/>
    <d v="1900-01-03T00:00:00"/>
    <n v="16"/>
    <n v="0"/>
    <s v=""/>
    <n v="9.4"/>
    <n v="180"/>
    <n v="19.100000000000001"/>
    <n v="-0.9"/>
    <n v="980.12"/>
    <n v="975.86"/>
    <d v="2020-02-05T16:01:54"/>
    <n v="1011.88"/>
    <n v="0"/>
    <d v="2020-02-05T16:42:05"/>
    <n v="1017.63"/>
    <n v="0"/>
    <e v="#N/A"/>
    <n v="-4.3464065624617297E-3"/>
    <s v=""/>
    <n v="1019.44"/>
    <n v="975.86"/>
    <n v="-4.2748960213450538E-2"/>
    <n v="-9.4"/>
    <s v=""/>
    <n v="-9.4"/>
    <n v="-52.999999999999993"/>
    <n v="0"/>
    <n v="1"/>
    <s v="Non conforme"/>
    <m/>
    <m/>
    <n v="0"/>
    <n v="0"/>
    <n v="0"/>
    <s v="Non"/>
    <s v="Non"/>
    <s v="Non"/>
    <n v="1.1023000000000001"/>
    <n v="13.462013839946261"/>
    <n v="0"/>
    <s v="--"/>
    <s v="Perdant"/>
    <n v="0"/>
    <n v="1"/>
    <m/>
    <n v="29268.35"/>
    <m/>
    <m/>
    <m/>
    <m/>
    <m/>
  </r>
  <r>
    <x v="32"/>
    <n v="259508510"/>
    <s v="UsaInd"/>
    <s v="buy"/>
    <n v="0.5"/>
    <n v="29086.25"/>
    <n v="29076.25"/>
    <n v="29276.25"/>
    <d v="2020-02-05T16:15:38"/>
    <n v="29076.15"/>
    <n v="0"/>
    <n v="0"/>
    <n v="-4.59"/>
    <n v="33"/>
    <n v="-28.73"/>
    <n v="971.27"/>
    <x v="2"/>
    <n v="6"/>
    <d v="1900-01-03T00:00:00"/>
    <n v="16"/>
    <n v="0"/>
    <s v=""/>
    <n v="10"/>
    <n v="190"/>
    <n v="19"/>
    <n v="-1"/>
    <n v="975.86"/>
    <n v="971.27"/>
    <d v="2020-02-05T16:01:54"/>
    <n v="1011.88"/>
    <n v="0"/>
    <d v="2020-02-05T16:42:05"/>
    <n v="1017.63"/>
    <n v="0"/>
    <e v="#N/A"/>
    <n v="-4.7035435410817455E-3"/>
    <s v=""/>
    <n v="1019.44"/>
    <n v="971.27"/>
    <n v="-4.7251432158832318E-2"/>
    <n v="-10.1"/>
    <s v=""/>
    <n v="-10.1"/>
    <n v="-63.099999999999994"/>
    <n v="0"/>
    <n v="1"/>
    <s v="Non conforme"/>
    <m/>
    <m/>
    <n v="0"/>
    <n v="0"/>
    <n v="0"/>
    <s v="Non"/>
    <s v="Non"/>
    <s v="Non"/>
    <n v="1.1023000000000001"/>
    <n v="13.519804532470724"/>
    <n v="0"/>
    <s v="--"/>
    <s v="Perdant"/>
    <n v="0"/>
    <n v="1"/>
    <m/>
    <n v="29276.25"/>
    <m/>
    <m/>
    <m/>
    <m/>
    <m/>
  </r>
  <r>
    <x v="33"/>
    <n v="259508571"/>
    <s v="UsaInd"/>
    <s v="buy"/>
    <n v="0.5"/>
    <n v="29076"/>
    <n v="29066.25"/>
    <m/>
    <d v="2020-02-05T16:16:01"/>
    <n v="29065"/>
    <n v="0"/>
    <n v="0"/>
    <n v="-5"/>
    <n v="34"/>
    <n v="-33.730000000000004"/>
    <n v="966.27"/>
    <x v="2"/>
    <n v="6"/>
    <d v="1900-01-03T00:00:00"/>
    <n v="16"/>
    <n v="0"/>
    <s v=""/>
    <n v="9.8000000000000007"/>
    <n v="200"/>
    <n v="20.399999999999999"/>
    <n v="-1.1000000000000001"/>
    <n v="971.27"/>
    <n v="966.27"/>
    <d v="2020-02-05T16:01:54"/>
    <n v="1011.88"/>
    <n v="0"/>
    <d v="2020-02-05T16:42:05"/>
    <n v="1017.63"/>
    <n v="0"/>
    <e v="#N/A"/>
    <n v="-5.1478991423600032E-3"/>
    <s v=""/>
    <n v="1019.44"/>
    <n v="966.27"/>
    <n v="-5.215608569410668E-2"/>
    <n v="-11"/>
    <s v=""/>
    <n v="-11"/>
    <n v="-74.099999999999994"/>
    <n v="0"/>
    <n v="1"/>
    <s v="Non conforme"/>
    <m/>
    <m/>
    <n v="0"/>
    <n v="0"/>
    <n v="0"/>
    <s v="Non"/>
    <s v="Non"/>
    <s v="Non"/>
    <n v="1.1023000000000001"/>
    <n v="13.578909141182931"/>
    <n v="0"/>
    <s v="--"/>
    <s v="Perdant"/>
    <n v="0"/>
    <n v="1"/>
    <m/>
    <s v=""/>
    <m/>
    <m/>
    <m/>
    <m/>
    <m/>
  </r>
  <r>
    <x v="34"/>
    <n v="259508397"/>
    <s v="UsaInd"/>
    <s v="buy"/>
    <n v="0.5"/>
    <n v="29065.23"/>
    <n v="29055.74"/>
    <n v="29265.23"/>
    <d v="2020-02-05T16:26:33"/>
    <n v="29055.26"/>
    <n v="0"/>
    <n v="0"/>
    <n v="-4.53"/>
    <n v="35"/>
    <n v="-38.260000000000005"/>
    <n v="961.74"/>
    <x v="2"/>
    <n v="6"/>
    <d v="1900-01-03T00:00:00"/>
    <n v="16"/>
    <n v="0"/>
    <s v=""/>
    <n v="9.5"/>
    <n v="200"/>
    <n v="21.1"/>
    <n v="-1"/>
    <n v="966.27"/>
    <n v="961.74"/>
    <d v="2020-02-05T16:01:54"/>
    <n v="1011.88"/>
    <n v="0"/>
    <d v="2020-02-05T16:42:05"/>
    <n v="1017.63"/>
    <n v="0"/>
    <e v="#N/A"/>
    <n v="-4.6881306467136232E-3"/>
    <s v=""/>
    <n v="1019.44"/>
    <n v="961.74"/>
    <n v="-5.6599701797065083E-2"/>
    <n v="-10"/>
    <s v=""/>
    <n v="-10"/>
    <n v="-84.1"/>
    <n v="0"/>
    <n v="1"/>
    <s v="Non conforme"/>
    <m/>
    <m/>
    <n v="0"/>
    <n v="0"/>
    <n v="0"/>
    <s v="Non"/>
    <s v="Non"/>
    <s v="Non"/>
    <n v="1.1023000000000001"/>
    <n v="13.644117939710348"/>
    <n v="0"/>
    <s v="--"/>
    <s v="Perdant"/>
    <n v="0"/>
    <n v="1"/>
    <m/>
    <n v="29265.23"/>
    <m/>
    <m/>
    <m/>
    <m/>
    <m/>
  </r>
  <r>
    <x v="35"/>
    <n v="259508410"/>
    <s v="UsaInd"/>
    <s v="buy"/>
    <n v="0.5"/>
    <n v="29051.23"/>
    <n v="29041.64"/>
    <m/>
    <d v="2020-02-05T16:27:00"/>
    <n v="29041.040000000001"/>
    <n v="0"/>
    <n v="0"/>
    <n v="-4.63"/>
    <n v="36"/>
    <n v="-42.890000000000008"/>
    <n v="957.11"/>
    <x v="2"/>
    <n v="6"/>
    <d v="1900-01-03T00:00:00"/>
    <n v="16"/>
    <n v="0"/>
    <s v=""/>
    <n v="9.6"/>
    <n v="200"/>
    <n v="20.8"/>
    <n v="-1"/>
    <n v="961.74"/>
    <n v="957.11"/>
    <d v="2020-02-05T16:01:54"/>
    <n v="1011.88"/>
    <n v="0"/>
    <d v="2020-02-05T16:42:05"/>
    <n v="1017.63"/>
    <n v="0"/>
    <e v="#N/A"/>
    <n v="-4.8141909455778021E-3"/>
    <s v=""/>
    <n v="1019.44"/>
    <n v="957.11"/>
    <n v="-6.1141410970729115E-2"/>
    <n v="-10.199999999999999"/>
    <s v=""/>
    <n v="-10.199999999999999"/>
    <n v="-94.3"/>
    <n v="0"/>
    <n v="1"/>
    <s v="Non conforme"/>
    <m/>
    <m/>
    <n v="0"/>
    <n v="0"/>
    <n v="0"/>
    <s v="Non"/>
    <s v="Non"/>
    <s v="Non"/>
    <n v="1.1023000000000001"/>
    <n v="13.701781649159097"/>
    <n v="0"/>
    <s v="--"/>
    <s v="Perdant"/>
    <n v="0"/>
    <n v="1"/>
    <m/>
    <s v=""/>
    <m/>
    <m/>
    <m/>
    <m/>
    <m/>
  </r>
  <r>
    <x v="36"/>
    <n v="259509644"/>
    <s v="UsaInd"/>
    <s v="buy"/>
    <n v="0.5"/>
    <n v="29034.2"/>
    <n v="29023.200000000001"/>
    <m/>
    <d v="2020-02-05T16:27:25"/>
    <n v="29023.01"/>
    <n v="0"/>
    <n v="0"/>
    <n v="-5.09"/>
    <n v="37"/>
    <n v="-47.980000000000004"/>
    <n v="952.02"/>
    <x v="2"/>
    <n v="6"/>
    <d v="1900-01-03T00:00:00"/>
    <n v="16"/>
    <n v="0"/>
    <s v=""/>
    <n v="11"/>
    <n v="200"/>
    <n v="18.2"/>
    <n v="-1.1000000000000001"/>
    <n v="957.11"/>
    <n v="952.02"/>
    <d v="2020-02-05T16:01:54"/>
    <n v="1011.88"/>
    <n v="0"/>
    <d v="2020-02-05T16:42:05"/>
    <n v="1017.63"/>
    <n v="0"/>
    <e v="#N/A"/>
    <n v="-5.3180930091630343E-3"/>
    <s v=""/>
    <n v="1019.44"/>
    <n v="952.02"/>
    <n v="-6.6134348269638266E-2"/>
    <n v="-11.2"/>
    <s v=""/>
    <n v="-11.2"/>
    <n v="-105.5"/>
    <n v="0"/>
    <n v="1"/>
    <s v="Non conforme"/>
    <m/>
    <m/>
    <n v="0"/>
    <n v="0"/>
    <n v="0"/>
    <s v="Non"/>
    <s v="Non"/>
    <s v="Non"/>
    <n v="1.1023000000000001"/>
    <n v="13.759992817896247"/>
    <n v="0"/>
    <s v="--"/>
    <s v="Perdant"/>
    <n v="0"/>
    <n v="1"/>
    <m/>
    <s v=""/>
    <m/>
    <m/>
    <m/>
    <m/>
    <m/>
  </r>
  <r>
    <x v="37"/>
    <n v="259509769"/>
    <s v="UsaInd"/>
    <s v="sell"/>
    <n v="0.5"/>
    <n v="29029.03"/>
    <n v="29039.03"/>
    <n v="28776.97"/>
    <d v="2020-02-05T16:29:35"/>
    <n v="29033.03"/>
    <n v="0"/>
    <n v="0"/>
    <n v="-1.82"/>
    <n v="38"/>
    <n v="-49.800000000000004"/>
    <n v="950.2"/>
    <x v="2"/>
    <n v="6"/>
    <d v="1900-01-03T00:00:00"/>
    <n v="16"/>
    <n v="0"/>
    <s v=""/>
    <n v="10"/>
    <n v="252.1"/>
    <n v="25.2"/>
    <n v="-0.4"/>
    <n v="952.0200000000001"/>
    <n v="950.2"/>
    <d v="2020-02-05T16:01:54"/>
    <n v="1011.88"/>
    <n v="0"/>
    <d v="2020-02-05T16:42:05"/>
    <n v="1017.63"/>
    <n v="0"/>
    <e v="#N/A"/>
    <n v="-1.9117245436020775E-3"/>
    <s v=""/>
    <n v="1019.44"/>
    <n v="950.2"/>
    <n v="-6.7919642156478055E-2"/>
    <n v="-4"/>
    <s v=""/>
    <n v="-4"/>
    <n v="-109.5"/>
    <n v="0"/>
    <n v="1"/>
    <s v="Non conforme"/>
    <m/>
    <m/>
    <n v="0"/>
    <n v="0"/>
    <n v="0"/>
    <s v="Non"/>
    <s v="Non"/>
    <s v="Non"/>
    <n v="1.1023000000000001"/>
    <n v="13.831097696813625"/>
    <n v="0"/>
    <s v="-"/>
    <s v="Perdant"/>
    <n v="0"/>
    <n v="1"/>
    <m/>
    <n v="28776.97"/>
    <m/>
    <m/>
    <m/>
    <m/>
    <m/>
  </r>
  <r>
    <x v="38"/>
    <n v="259510113"/>
    <s v="UsaInd"/>
    <s v="buy"/>
    <n v="0.5"/>
    <n v="29032.19"/>
    <n v="29022.19"/>
    <n v="29276.25"/>
    <d v="2020-02-05T16:30:13"/>
    <n v="29022.19"/>
    <n v="0"/>
    <n v="0"/>
    <n v="-4.54"/>
    <n v="39"/>
    <n v="-54.34"/>
    <n v="945.66"/>
    <x v="2"/>
    <n v="6"/>
    <d v="1900-01-03T00:00:00"/>
    <n v="16"/>
    <n v="0"/>
    <s v=""/>
    <n v="10"/>
    <n v="244.1"/>
    <n v="24.4"/>
    <n v="-1"/>
    <n v="950.19999999999993"/>
    <n v="945.66"/>
    <d v="2020-02-05T16:01:54"/>
    <n v="1011.88"/>
    <n v="0"/>
    <d v="2020-02-05T16:42:05"/>
    <n v="1017.63"/>
    <n v="0"/>
    <e v="#N/A"/>
    <n v="-4.7779414860029089E-3"/>
    <s v=""/>
    <n v="1019.44"/>
    <n v="945.66"/>
    <n v="-7.2373067566507188E-2"/>
    <n v="-10"/>
    <s v=""/>
    <n v="-10"/>
    <n v="-119.5"/>
    <n v="0"/>
    <n v="1"/>
    <s v="Non conforme"/>
    <m/>
    <m/>
    <n v="0"/>
    <n v="0"/>
    <n v="0"/>
    <s v="Non"/>
    <s v="Non"/>
    <s v="Non"/>
    <n v="1.1023000000000001"/>
    <n v="13.859098080317436"/>
    <n v="0"/>
    <s v="--"/>
    <s v="Perdant"/>
    <n v="0"/>
    <n v="1"/>
    <m/>
    <n v="29276.25"/>
    <m/>
    <m/>
    <m/>
    <m/>
    <m/>
  </r>
  <r>
    <x v="39"/>
    <n v="259510225"/>
    <s v="UsaInd"/>
    <s v="buy"/>
    <n v="0.5"/>
    <n v="29021.08"/>
    <n v="29011.08"/>
    <n v="29271.08"/>
    <d v="2020-02-05T16:36:14"/>
    <n v="29009.99"/>
    <n v="0"/>
    <n v="0"/>
    <n v="-5.04"/>
    <n v="40"/>
    <n v="-59.38"/>
    <n v="940.62"/>
    <x v="2"/>
    <n v="6"/>
    <d v="1900-01-03T00:00:00"/>
    <n v="16"/>
    <n v="0"/>
    <s v=""/>
    <n v="10"/>
    <n v="250"/>
    <n v="25"/>
    <n v="-1.1000000000000001"/>
    <n v="945.66"/>
    <n v="940.62"/>
    <d v="2020-02-05T16:01:54"/>
    <n v="1011.88"/>
    <n v="0"/>
    <d v="2020-02-05T16:42:05"/>
    <n v="1017.63"/>
    <n v="0"/>
    <e v="#N/A"/>
    <n v="-5.3296110652876968E-3"/>
    <s v=""/>
    <n v="1019.44"/>
    <n v="940.62"/>
    <n v="-7.7316958330063579E-2"/>
    <n v="-11.1"/>
    <s v=""/>
    <n v="-11.1"/>
    <n v="-130.6"/>
    <n v="0"/>
    <n v="1"/>
    <s v="Non conforme"/>
    <m/>
    <m/>
    <n v="0"/>
    <n v="0"/>
    <n v="0"/>
    <s v="Non"/>
    <s v="Non"/>
    <s v="Non"/>
    <n v="1.1023000000000001"/>
    <n v="13.920304901313902"/>
    <n v="0"/>
    <s v="--"/>
    <s v="Perdant"/>
    <n v="0"/>
    <n v="1"/>
    <m/>
    <n v="29271.08"/>
    <m/>
    <m/>
    <m/>
    <m/>
    <m/>
  </r>
  <r>
    <x v="40"/>
    <n v="259510869"/>
    <s v="UsaInd"/>
    <s v="buy"/>
    <n v="0.5"/>
    <n v="29012.22"/>
    <n v="29001.08"/>
    <n v="29272.22"/>
    <d v="2020-02-05T16:40:48"/>
    <n v="29001.06"/>
    <n v="0"/>
    <n v="0"/>
    <n v="-5.07"/>
    <n v="41"/>
    <n v="-64.45"/>
    <n v="935.55"/>
    <x v="2"/>
    <n v="6"/>
    <d v="1900-01-03T00:00:00"/>
    <n v="16"/>
    <n v="0"/>
    <s v=""/>
    <n v="11.1"/>
    <n v="260"/>
    <n v="23.4"/>
    <n v="-1.1000000000000001"/>
    <n v="940.62"/>
    <n v="935.55"/>
    <d v="2020-02-05T16:01:54"/>
    <n v="1011.88"/>
    <n v="0"/>
    <d v="2020-02-05T16:42:05"/>
    <n v="1017.63"/>
    <n v="0"/>
    <e v="#N/A"/>
    <n v="-5.3900618740831052E-3"/>
    <s v=""/>
    <n v="1019.44"/>
    <n v="935.55"/>
    <n v="-8.2290277014831714E-2"/>
    <n v="-11.2"/>
    <s v=""/>
    <n v="-11.2"/>
    <n v="-141.79999999999998"/>
    <n v="0"/>
    <n v="1"/>
    <s v="Non conforme"/>
    <m/>
    <m/>
    <n v="0"/>
    <n v="0"/>
    <n v="0"/>
    <s v="Non"/>
    <s v="Non"/>
    <s v="Non"/>
    <n v="1.1023000000000001"/>
    <n v="13.990619658672246"/>
    <n v="0"/>
    <s v="--"/>
    <s v="Perdant"/>
    <n v="0"/>
    <n v="1"/>
    <m/>
    <n v="29272.22"/>
    <m/>
    <m/>
    <m/>
    <m/>
    <m/>
  </r>
  <r>
    <x v="41"/>
    <n v="259511221"/>
    <s v="UsaInd"/>
    <s v="sell"/>
    <n v="0.5"/>
    <n v="29000.13"/>
    <n v="29009.35"/>
    <m/>
    <d v="2020-02-05T16:41:17"/>
    <n v="29009.39"/>
    <n v="0"/>
    <n v="0"/>
    <n v="-4.21"/>
    <n v="42"/>
    <n v="-68.66"/>
    <n v="931.34"/>
    <x v="2"/>
    <n v="6"/>
    <d v="1900-01-03T00:00:00"/>
    <n v="16"/>
    <n v="0"/>
    <s v=""/>
    <n v="9.1999999999999993"/>
    <n v="200"/>
    <n v="21.7"/>
    <n v="-0.9"/>
    <n v="935.55000000000007"/>
    <n v="931.34"/>
    <d v="2020-02-05T16:01:54"/>
    <n v="1011.88"/>
    <n v="0"/>
    <d v="2020-02-05T16:42:05"/>
    <n v="1017.63"/>
    <n v="0"/>
    <e v="#N/A"/>
    <n v="-4.5000267222489827E-3"/>
    <s v=""/>
    <n v="1019.44"/>
    <n v="931.34"/>
    <n v="-8.6419995291532659E-2"/>
    <n v="-9.3000000000000007"/>
    <s v=""/>
    <n v="-9.3000000000000007"/>
    <n v="-151.1"/>
    <n v="0"/>
    <n v="1"/>
    <s v="Non conforme"/>
    <m/>
    <m/>
    <n v="0"/>
    <n v="0"/>
    <n v="0"/>
    <s v="Non"/>
    <s v="Non"/>
    <s v="Non"/>
    <n v="1.1023000000000001"/>
    <n v="14.060576853524932"/>
    <n v="0"/>
    <s v="--"/>
    <s v="Perdant"/>
    <n v="0"/>
    <n v="1"/>
    <m/>
    <s v=""/>
    <m/>
    <m/>
    <m/>
    <m/>
    <m/>
  </r>
  <r>
    <x v="42"/>
    <n v="259511254"/>
    <s v="UsaInd"/>
    <s v="sell"/>
    <n v="0.5"/>
    <n v="29005.09"/>
    <n v="29015.09"/>
    <m/>
    <d v="2020-02-05T16:42:04"/>
    <n v="29015.279999999999"/>
    <n v="0"/>
    <n v="0"/>
    <n v="-4.63"/>
    <n v="43"/>
    <n v="-73.289999999999992"/>
    <n v="926.71"/>
    <x v="2"/>
    <n v="6"/>
    <d v="1900-01-03T00:00:00"/>
    <n v="16"/>
    <n v="0"/>
    <s v=""/>
    <n v="10"/>
    <n v="200"/>
    <n v="20"/>
    <n v="-1"/>
    <n v="931.34"/>
    <n v="926.71"/>
    <d v="2020-02-05T16:01:54"/>
    <n v="1011.88"/>
    <n v="0"/>
    <d v="2020-02-05T16:42:05"/>
    <n v="1017.63"/>
    <n v="0"/>
    <e v="#N/A"/>
    <n v="-4.971331629694843E-3"/>
    <s v=""/>
    <n v="1019.44"/>
    <n v="926.71"/>
    <n v="-9.096170446519658E-2"/>
    <n v="-10.199999999999999"/>
    <s v=""/>
    <n v="-10.199999999999999"/>
    <n v="-161.29999999999998"/>
    <n v="0"/>
    <n v="1"/>
    <s v="Non conforme"/>
    <m/>
    <m/>
    <n v="0"/>
    <n v="0"/>
    <n v="0"/>
    <s v="Non"/>
    <s v="Non"/>
    <s v="Non"/>
    <n v="1.1023000000000001"/>
    <n v="14.126551545682878"/>
    <n v="0"/>
    <s v="--"/>
    <s v="Perdant"/>
    <n v="0"/>
    <n v="1"/>
    <m/>
    <s v=""/>
    <m/>
    <m/>
    <m/>
    <m/>
    <m/>
  </r>
  <r>
    <x v="43"/>
    <n v="259511306"/>
    <s v="UsaInd"/>
    <s v="buy"/>
    <n v="0.5"/>
    <n v="29015.27"/>
    <n v="29004.27"/>
    <n v="29215.27"/>
    <d v="2020-02-05T19:57:16"/>
    <n v="29215.32"/>
    <n v="0"/>
    <n v="0"/>
    <n v="90.92"/>
    <n v="44"/>
    <n v="17.63000000000001"/>
    <n v="1017.63"/>
    <x v="2"/>
    <n v="6"/>
    <d v="1900-01-03T00:00:00"/>
    <n v="19"/>
    <n v="0"/>
    <s v=""/>
    <n v="11"/>
    <n v="200"/>
    <n v="18.2"/>
    <n v="18.2"/>
    <n v="926.71"/>
    <n v="1017.63"/>
    <d v="2020-02-05T16:01:54"/>
    <n v="1011.88"/>
    <n v="0"/>
    <d v="2020-02-05T16:42:05"/>
    <n v="1017.63"/>
    <n v="1017.63"/>
    <n v="1017.63"/>
    <n v="9.8110520011654087E-2"/>
    <s v=""/>
    <n v="1019.44"/>
    <n v="1017.63"/>
    <n v="-1.775484579769393E-3"/>
    <n v="200"/>
    <n v="200"/>
    <s v=""/>
    <n v="38.700000000000017"/>
    <n v="0"/>
    <n v="1"/>
    <s v="Non conforme"/>
    <m/>
    <m/>
    <n v="0"/>
    <n v="0"/>
    <n v="0"/>
    <s v="Non"/>
    <s v="Non"/>
    <s v="Oui"/>
    <n v="1.1023000000000001"/>
    <n v="14.202112995721119"/>
    <n v="0"/>
    <s v="++"/>
    <s v="Gagnant"/>
    <n v="1"/>
    <n v="0"/>
    <m/>
    <n v="29215.27"/>
    <m/>
    <m/>
    <m/>
    <m/>
    <m/>
  </r>
  <r>
    <x v="44"/>
    <n v="259554421"/>
    <s v="UsaInd"/>
    <s v="buy"/>
    <n v="0.5"/>
    <n v="29364.560000000001"/>
    <n v="29366.06"/>
    <m/>
    <d v="2020-02-06T15:31:26"/>
    <n v="29365.85"/>
    <n v="0"/>
    <n v="0"/>
    <n v="0.59"/>
    <n v="45"/>
    <n v="18.22000000000001"/>
    <n v="1018.22"/>
    <x v="3"/>
    <n v="6"/>
    <d v="1900-01-04T00:00:00"/>
    <n v="15"/>
    <n v="1"/>
    <n v="12"/>
    <n v="-1.5"/>
    <n v="200"/>
    <n v="20"/>
    <n v="0.1"/>
    <n v="1017.63"/>
    <n v="1018.22"/>
    <d v="2020-02-06T15:31:13"/>
    <n v="1017.63"/>
    <n v="1017.63"/>
    <d v="2020-02-06T21:07:54"/>
    <n v="1032.94"/>
    <n v="0"/>
    <e v="#N/A"/>
    <n v="5.7977850495762886E-4"/>
    <n v="1.5044760865933648E-2"/>
    <n v="1019.44"/>
    <n v="1018.22"/>
    <n v="-1.1967354626069016E-3"/>
    <n v="1.3"/>
    <n v="1.3"/>
    <s v=""/>
    <n v="40.000000000000014"/>
    <n v="0"/>
    <n v="1"/>
    <s v="Non conforme"/>
    <m/>
    <m/>
    <n v="0"/>
    <n v="0"/>
    <n v="0"/>
    <s v="Non"/>
    <s v="Oui"/>
    <s v="Non"/>
    <n v="1.1003000000000001"/>
    <n v="13.112710936722703"/>
    <n v="0"/>
    <s v="0"/>
    <s v="Gagnant"/>
    <n v="1"/>
    <n v="0"/>
    <m/>
    <s v=""/>
    <m/>
    <m/>
    <m/>
    <m/>
    <m/>
  </r>
  <r>
    <x v="45"/>
    <n v="259554948"/>
    <s v="UsaInd"/>
    <s v="buy"/>
    <n v="0.5"/>
    <n v="29378.61"/>
    <n v="29368.77"/>
    <m/>
    <d v="2020-02-06T15:33:09"/>
    <n v="29368.63"/>
    <n v="0"/>
    <n v="0"/>
    <n v="-4.54"/>
    <n v="46"/>
    <n v="13.68000000000001"/>
    <n v="1013.6800000000001"/>
    <x v="3"/>
    <n v="6"/>
    <d v="1900-01-04T00:00:00"/>
    <n v="15"/>
    <n v="0"/>
    <s v=""/>
    <n v="9.8000000000000007"/>
    <n v="200"/>
    <n v="20.399999999999999"/>
    <n v="-1"/>
    <n v="1018.22"/>
    <n v="1013.6800000000001"/>
    <d v="2020-02-06T15:31:13"/>
    <n v="1017.63"/>
    <n v="0"/>
    <d v="2020-02-06T21:07:54"/>
    <n v="1032.94"/>
    <n v="0"/>
    <e v="#N/A"/>
    <n v="-4.4587613678772403E-3"/>
    <s v=""/>
    <n v="1019.44"/>
    <n v="1013.6800000000001"/>
    <n v="-5.6501608726359231E-3"/>
    <n v="-10"/>
    <s v=""/>
    <n v="-10"/>
    <n v="30.000000000000014"/>
    <n v="0"/>
    <n v="1"/>
    <s v="Non conforme"/>
    <m/>
    <m/>
    <n v="0"/>
    <n v="0"/>
    <n v="0"/>
    <s v="Non"/>
    <s v="Non"/>
    <s v="Non"/>
    <n v="1.1003000000000001"/>
    <n v="13.11138325009609"/>
    <n v="0"/>
    <s v="--"/>
    <s v="Perdant"/>
    <n v="0"/>
    <n v="1"/>
    <m/>
    <s v=""/>
    <m/>
    <m/>
    <m/>
    <m/>
    <m/>
  </r>
  <r>
    <x v="46"/>
    <n v="259554995"/>
    <s v="UsaInd"/>
    <s v="buy"/>
    <n v="0.5"/>
    <n v="29366.76"/>
    <n v="29357.68"/>
    <n v="29386.76"/>
    <d v="2020-02-06T15:34:00"/>
    <n v="29355.54"/>
    <n v="0"/>
    <n v="0"/>
    <n v="-5.0999999999999996"/>
    <n v="47"/>
    <n v="8.5800000000000107"/>
    <n v="1008.58"/>
    <x v="3"/>
    <n v="6"/>
    <d v="1900-01-04T00:00:00"/>
    <n v="15"/>
    <n v="0"/>
    <s v=""/>
    <n v="9.1"/>
    <n v="20"/>
    <n v="2.2000000000000002"/>
    <n v="-1.1000000000000001"/>
    <n v="1013.6800000000001"/>
    <n v="1008.58"/>
    <d v="2020-02-06T15:31:13"/>
    <n v="1017.63"/>
    <n v="0"/>
    <d v="2020-02-06T21:07:54"/>
    <n v="1032.94"/>
    <n v="0"/>
    <e v="#N/A"/>
    <n v="-5.0311735458922167E-3"/>
    <s v=""/>
    <n v="1019.44"/>
    <n v="1008.58"/>
    <n v="-1.0652907478615692E-2"/>
    <n v="-11.2"/>
    <s v=""/>
    <n v="-11.2"/>
    <n v="18.800000000000015"/>
    <n v="0"/>
    <n v="1"/>
    <s v="Non conforme"/>
    <m/>
    <m/>
    <n v="0"/>
    <n v="0"/>
    <n v="0"/>
    <s v="Non"/>
    <s v="Non"/>
    <s v="Non"/>
    <n v="1.1003000000000001"/>
    <n v="13.164793384385813"/>
    <n v="0"/>
    <s v="--"/>
    <s v="Perdant"/>
    <n v="0"/>
    <n v="1"/>
    <m/>
    <n v="29386.76"/>
    <m/>
    <m/>
    <m/>
    <m/>
    <m/>
  </r>
  <r>
    <x v="47"/>
    <n v="259554398"/>
    <s v="UsaInd"/>
    <s v="buy"/>
    <n v="0.5"/>
    <n v="29344.880000000001"/>
    <n v="29335.93"/>
    <n v="29394.880000000001"/>
    <d v="2020-02-06T15:36:42"/>
    <n v="29335.9"/>
    <n v="0"/>
    <n v="0"/>
    <n v="-4.08"/>
    <n v="48"/>
    <n v="4.5000000000000107"/>
    <n v="1004.5"/>
    <x v="3"/>
    <n v="6"/>
    <d v="1900-01-04T00:00:00"/>
    <n v="15"/>
    <n v="0"/>
    <s v=""/>
    <n v="9"/>
    <n v="50"/>
    <n v="5.6"/>
    <n v="-0.9"/>
    <n v="1008.58"/>
    <n v="1004.5"/>
    <d v="2020-02-06T15:31:13"/>
    <n v="1017.63"/>
    <n v="0"/>
    <d v="2020-02-06T21:07:54"/>
    <n v="1032.94"/>
    <n v="0"/>
    <e v="#N/A"/>
    <n v="-4.0452913997898439E-3"/>
    <s v=""/>
    <n v="1019.44"/>
    <n v="1004.5"/>
    <n v="-1.4655104763399596E-2"/>
    <n v="-9"/>
    <s v=""/>
    <n v="-9"/>
    <n v="9.8000000000000149"/>
    <n v="0"/>
    <n v="1"/>
    <s v="Non conforme"/>
    <m/>
    <m/>
    <n v="0"/>
    <n v="0"/>
    <n v="0"/>
    <s v="Non"/>
    <s v="Non"/>
    <s v="Non"/>
    <n v="1.1003000000000001"/>
    <n v="13.221504506331584"/>
    <n v="0"/>
    <s v="--"/>
    <s v="Perdant"/>
    <n v="0"/>
    <n v="1"/>
    <m/>
    <n v="29394.880000000001"/>
    <m/>
    <m/>
    <m/>
    <m/>
    <m/>
  </r>
  <r>
    <x v="48"/>
    <n v="259555448"/>
    <s v="UsaInd"/>
    <s v="buy"/>
    <n v="0.5"/>
    <n v="29316.63"/>
    <n v="29306.74"/>
    <n v="29396.74"/>
    <d v="2020-02-06T15:40:07"/>
    <n v="29306.61"/>
    <n v="0"/>
    <n v="0"/>
    <n v="-4.5599999999999996"/>
    <n v="49"/>
    <n v="-5.9999999999988951E-2"/>
    <n v="999.94"/>
    <x v="3"/>
    <n v="6"/>
    <d v="1900-01-04T00:00:00"/>
    <n v="15"/>
    <n v="0"/>
    <s v=""/>
    <n v="9.9"/>
    <n v="80.099999999999994"/>
    <n v="8.1"/>
    <n v="-1"/>
    <n v="1004.5"/>
    <n v="999.94"/>
    <d v="2020-02-06T15:31:13"/>
    <n v="1017.63"/>
    <n v="0"/>
    <d v="2020-02-06T21:07:54"/>
    <n v="1032.94"/>
    <n v="0"/>
    <e v="#N/A"/>
    <n v="-4.5395719263314543E-3"/>
    <s v=""/>
    <n v="1019.44"/>
    <n v="999.94"/>
    <n v="-1.9128148787569632E-2"/>
    <n v="-10"/>
    <s v=""/>
    <n v="-10"/>
    <n v="-0.19999999999998508"/>
    <n v="0"/>
    <n v="1"/>
    <s v="Non conforme"/>
    <m/>
    <m/>
    <n v="0"/>
    <n v="0"/>
    <n v="0"/>
    <s v="Non"/>
    <s v="Non"/>
    <s v="Non"/>
    <n v="1.1003000000000001"/>
    <n v="13.262426686925107"/>
    <n v="0"/>
    <s v="--"/>
    <s v="Perdant"/>
    <n v="0"/>
    <n v="1"/>
    <m/>
    <n v="29396.74"/>
    <m/>
    <m/>
    <m/>
    <m/>
    <m/>
  </r>
  <r>
    <x v="49"/>
    <n v="259556066"/>
    <s v="UsaInd"/>
    <s v="buy"/>
    <n v="0.5"/>
    <n v="29298.84"/>
    <n v="29289.34"/>
    <n v="29399.34"/>
    <d v="2020-02-06T15:41:04"/>
    <n v="29288.89"/>
    <n v="0"/>
    <n v="0"/>
    <n v="-4.53"/>
    <n v="50"/>
    <n v="-4.5899999999999892"/>
    <n v="995.41"/>
    <x v="3"/>
    <n v="6"/>
    <d v="1900-01-04T00:00:00"/>
    <n v="15"/>
    <n v="0"/>
    <s v=""/>
    <n v="9.5"/>
    <n v="100.5"/>
    <n v="10.6"/>
    <n v="-1"/>
    <n v="999.93999999999994"/>
    <n v="995.41"/>
    <d v="2020-02-06T15:31:13"/>
    <n v="1017.63"/>
    <n v="0"/>
    <d v="2020-02-06T21:07:54"/>
    <n v="1032.94"/>
    <n v="0"/>
    <e v="#N/A"/>
    <n v="-4.5302718163089516E-3"/>
    <s v=""/>
    <n v="1019.44"/>
    <n v="995.41"/>
    <n v="-2.3571764890528257E-2"/>
    <n v="-10"/>
    <s v=""/>
    <n v="-10"/>
    <n v="-10.199999999999985"/>
    <n v="0"/>
    <n v="1"/>
    <s v="Non conforme"/>
    <m/>
    <m/>
    <n v="0"/>
    <n v="0"/>
    <n v="0"/>
    <s v="Non"/>
    <s v="Non"/>
    <s v="Non"/>
    <n v="1.1003000000000001"/>
    <n v="13.314822337490755"/>
    <n v="0"/>
    <s v="--"/>
    <s v="Perdant"/>
    <n v="0"/>
    <n v="1"/>
    <m/>
    <n v="29399.34"/>
    <m/>
    <m/>
    <m/>
    <m/>
    <m/>
  </r>
  <r>
    <x v="50"/>
    <n v="259555713"/>
    <s v="UsaInd"/>
    <s v="buy"/>
    <n v="0.5"/>
    <n v="29279.83"/>
    <n v="29270.720000000001"/>
    <n v="29430.720000000001"/>
    <d v="2020-02-06T15:47:23"/>
    <n v="29270.65"/>
    <n v="0"/>
    <n v="0"/>
    <n v="-4.17"/>
    <n v="51"/>
    <n v="-8.7599999999999891"/>
    <n v="991.24"/>
    <x v="3"/>
    <n v="6"/>
    <d v="1900-01-04T00:00:00"/>
    <n v="15"/>
    <n v="0"/>
    <s v=""/>
    <n v="9.1"/>
    <n v="150.9"/>
    <n v="16.600000000000001"/>
    <n v="-0.9"/>
    <n v="995.41"/>
    <n v="991.24"/>
    <d v="2020-02-06T15:31:13"/>
    <n v="1017.63"/>
    <n v="0"/>
    <d v="2020-02-06T21:07:54"/>
    <n v="1032.94"/>
    <n v="0"/>
    <e v="#N/A"/>
    <n v="-4.1892285590861651E-3"/>
    <s v=""/>
    <n v="1019.44"/>
    <n v="991.24"/>
    <n v="-2.766224593894695E-2"/>
    <n v="-9.1999999999999993"/>
    <s v=""/>
    <n v="-9.1999999999999993"/>
    <n v="-19.399999999999984"/>
    <n v="0"/>
    <n v="1"/>
    <s v="Non conforme"/>
    <m/>
    <m/>
    <n v="0"/>
    <n v="0"/>
    <n v="0"/>
    <s v="Non"/>
    <s v="Non"/>
    <s v="Non"/>
    <n v="1.1003000000000001"/>
    <n v="13.366738223474378"/>
    <n v="0"/>
    <s v="--"/>
    <s v="Perdant"/>
    <n v="0"/>
    <n v="1"/>
    <m/>
    <n v="29430.720000000001"/>
    <m/>
    <m/>
    <m/>
    <m/>
    <m/>
  </r>
  <r>
    <x v="51"/>
    <n v="259557729"/>
    <s v="UsaInd"/>
    <s v="buy"/>
    <n v="0.5"/>
    <n v="29275.75"/>
    <n v="29265.75"/>
    <n v="29425.75"/>
    <d v="2020-02-06T15:50:21"/>
    <n v="29265.67"/>
    <n v="0"/>
    <n v="0"/>
    <n v="-4.58"/>
    <n v="52"/>
    <n v="-13.339999999999989"/>
    <n v="986.66"/>
    <x v="3"/>
    <n v="6"/>
    <d v="1900-01-04T00:00:00"/>
    <n v="15"/>
    <n v="0"/>
    <s v=""/>
    <n v="10"/>
    <n v="150"/>
    <n v="15"/>
    <n v="-1"/>
    <n v="991.24"/>
    <n v="986.66"/>
    <d v="2020-02-06T15:31:13"/>
    <n v="1017.63"/>
    <n v="0"/>
    <d v="2020-02-06T21:07:54"/>
    <n v="1032.94"/>
    <n v="0"/>
    <e v="#N/A"/>
    <n v="-4.6204753641903486E-3"/>
    <s v=""/>
    <n v="1019.44"/>
    <n v="986.66"/>
    <n v="-3.2154908577258223E-2"/>
    <n v="-10.1"/>
    <s v=""/>
    <n v="-10.1"/>
    <n v="-29.499999999999986"/>
    <n v="0"/>
    <n v="1"/>
    <s v="Non conforme"/>
    <m/>
    <m/>
    <n v="0"/>
    <n v="0"/>
    <n v="0"/>
    <s v="Non"/>
    <s v="Non"/>
    <s v="Non"/>
    <n v="1.1003000000000001"/>
    <n v="13.421099688492497"/>
    <n v="0"/>
    <s v="--"/>
    <s v="Perdant"/>
    <n v="0"/>
    <n v="1"/>
    <m/>
    <n v="29425.75"/>
    <m/>
    <m/>
    <m/>
    <m/>
    <m/>
  </r>
  <r>
    <x v="52"/>
    <n v="259556802"/>
    <s v="UsaInd"/>
    <s v="buy"/>
    <n v="0.5"/>
    <n v="29261.82"/>
    <n v="29252.27"/>
    <n v="29462.27"/>
    <d v="2020-02-06T15:50:56"/>
    <n v="29251.75"/>
    <n v="0"/>
    <n v="0"/>
    <n v="-4.58"/>
    <n v="53"/>
    <n v="-17.919999999999987"/>
    <n v="982.08"/>
    <x v="3"/>
    <n v="6"/>
    <d v="1900-01-04T00:00:00"/>
    <n v="15"/>
    <n v="0"/>
    <s v=""/>
    <n v="9.5"/>
    <n v="200.5"/>
    <n v="21.1"/>
    <n v="-1"/>
    <n v="986.66000000000008"/>
    <n v="982.08"/>
    <d v="2020-02-06T15:31:13"/>
    <n v="1017.63"/>
    <n v="0"/>
    <d v="2020-02-06T21:07:54"/>
    <n v="1032.94"/>
    <n v="0"/>
    <e v="#N/A"/>
    <n v="-4.641923256238259E-3"/>
    <s v=""/>
    <n v="1019.44"/>
    <n v="982.08"/>
    <n v="-3.6647571215569386E-2"/>
    <n v="-10.1"/>
    <s v=""/>
    <n v="-10.1"/>
    <n v="-39.599999999999987"/>
    <n v="0"/>
    <n v="1"/>
    <s v="Non conforme"/>
    <m/>
    <m/>
    <n v="0"/>
    <n v="0"/>
    <n v="0"/>
    <s v="Non"/>
    <s v="Non"/>
    <s v="Non"/>
    <n v="1.1003000000000001"/>
    <n v="13.476983726337497"/>
    <n v="0"/>
    <s v="--"/>
    <s v="Perdant"/>
    <n v="0"/>
    <n v="1"/>
    <m/>
    <n v="29462.27"/>
    <m/>
    <m/>
    <m/>
    <m/>
    <m/>
  </r>
  <r>
    <x v="53"/>
    <n v="259558246"/>
    <s v="UsaInd"/>
    <s v="buy"/>
    <n v="0.5"/>
    <n v="29264.87"/>
    <n v="29254.87"/>
    <m/>
    <d v="2020-02-06T15:51:22"/>
    <n v="29254.7"/>
    <n v="0"/>
    <n v="0"/>
    <n v="-4.63"/>
    <n v="54"/>
    <n v="-22.549999999999986"/>
    <n v="977.45"/>
    <x v="3"/>
    <n v="6"/>
    <d v="1900-01-04T00:00:00"/>
    <n v="15"/>
    <n v="0"/>
    <s v=""/>
    <n v="10"/>
    <n v="200"/>
    <n v="20"/>
    <n v="-1"/>
    <n v="982.08"/>
    <n v="977.45"/>
    <d v="2020-02-06T15:31:13"/>
    <n v="1017.63"/>
    <n v="0"/>
    <d v="2020-02-06T21:07:54"/>
    <n v="1032.94"/>
    <n v="0"/>
    <e v="#N/A"/>
    <n v="-4.7144835451287019E-3"/>
    <s v=""/>
    <n v="1019.44"/>
    <n v="977.45"/>
    <n v="-4.1189280389233307E-2"/>
    <n v="-10.199999999999999"/>
    <s v=""/>
    <n v="-10.199999999999999"/>
    <n v="-49.799999999999983"/>
    <n v="0"/>
    <n v="1"/>
    <s v="Non conforme"/>
    <m/>
    <m/>
    <n v="0"/>
    <n v="0"/>
    <n v="0"/>
    <s v="Non"/>
    <s v="Non"/>
    <s v="Non"/>
    <n v="1.1003000000000001"/>
    <n v="13.541245875151143"/>
    <n v="0"/>
    <s v="--"/>
    <s v="Perdant"/>
    <n v="0"/>
    <n v="1"/>
    <m/>
    <s v=""/>
    <m/>
    <m/>
    <m/>
    <m/>
    <m/>
  </r>
  <r>
    <x v="54"/>
    <n v="259558272"/>
    <s v="UsaInd"/>
    <s v="buy"/>
    <n v="0.5"/>
    <n v="29254.75"/>
    <n v="29244.75"/>
    <n v="29404.75"/>
    <d v="2020-02-06T17:23:04"/>
    <n v="29375.84"/>
    <n v="0"/>
    <n v="0"/>
    <n v="55.17"/>
    <n v="55"/>
    <n v="32.620000000000019"/>
    <n v="1032.6200000000001"/>
    <x v="3"/>
    <n v="6"/>
    <d v="1900-01-04T00:00:00"/>
    <n v="17"/>
    <n v="0"/>
    <s v=""/>
    <n v="10"/>
    <n v="150"/>
    <n v="15"/>
    <n v="12.1"/>
    <n v="977.45000000000016"/>
    <n v="1032.6200000000001"/>
    <d v="2020-02-06T15:31:13"/>
    <n v="1017.63"/>
    <n v="0"/>
    <d v="2020-02-06T21:07:54"/>
    <n v="1032.94"/>
    <n v="0"/>
    <e v="#N/A"/>
    <n v="5.6442784797176272E-2"/>
    <s v=""/>
    <n v="1032.6200000000001"/>
    <n v="1019.44"/>
    <s v=""/>
    <n v="121.1"/>
    <n v="121.1"/>
    <s v=""/>
    <n v="71.300000000000011"/>
    <n v="0"/>
    <n v="1"/>
    <s v="Non conforme"/>
    <m/>
    <m/>
    <n v="0"/>
    <n v="0"/>
    <n v="0"/>
    <s v="Non"/>
    <s v="Non"/>
    <s v="Non"/>
    <n v="1.1003000000000001"/>
    <n v="13.600683414263473"/>
    <n v="0"/>
    <s v="++"/>
    <s v="Gagnant"/>
    <n v="1"/>
    <n v="0"/>
    <m/>
    <n v="29404.75"/>
    <m/>
    <m/>
    <m/>
    <m/>
    <m/>
  </r>
  <r>
    <x v="55"/>
    <n v="259578962"/>
    <s v="UsaInd"/>
    <s v="buy"/>
    <n v="0.5"/>
    <n v="29384.26"/>
    <n v="29385.759999999998"/>
    <n v="29404.26"/>
    <d v="2020-02-06T21:10:30"/>
    <n v="29384.95"/>
    <n v="0"/>
    <n v="0"/>
    <n v="0.32"/>
    <n v="56"/>
    <n v="32.940000000000019"/>
    <n v="1032.94"/>
    <x v="3"/>
    <n v="6"/>
    <d v="1900-01-04T00:00:00"/>
    <n v="21"/>
    <n v="0"/>
    <s v=""/>
    <n v="-1.5"/>
    <n v="20"/>
    <n v="2"/>
    <n v="0.1"/>
    <n v="1032.6200000000001"/>
    <n v="1032.94"/>
    <d v="2020-02-06T15:31:13"/>
    <n v="1017.63"/>
    <n v="0"/>
    <d v="2020-02-06T21:07:54"/>
    <n v="1032.94"/>
    <n v="1032.94"/>
    <n v="1032.94"/>
    <n v="3.098913443473265E-4"/>
    <s v=""/>
    <n v="1032.94"/>
    <n v="1032.6200000000001"/>
    <s v=""/>
    <n v="0.7"/>
    <n v="0.7"/>
    <s v=""/>
    <n v="72.000000000000014"/>
    <n v="0"/>
    <n v="1"/>
    <s v="Non conforme"/>
    <m/>
    <m/>
    <n v="0"/>
    <n v="0"/>
    <n v="0"/>
    <s v="Non"/>
    <s v="Oui"/>
    <s v="Non"/>
    <n v="1.1003000000000001"/>
    <n v="12.931029937933381"/>
    <n v="0"/>
    <s v="0"/>
    <s v="Gagnant"/>
    <n v="1"/>
    <n v="0"/>
    <m/>
    <n v="29404.26"/>
    <m/>
    <m/>
    <m/>
    <m/>
    <m/>
  </r>
  <r>
    <x v="56"/>
    <n v="259594355"/>
    <s v="UsaInd"/>
    <s v="buy"/>
    <n v="0.5"/>
    <n v="29252.94"/>
    <n v="29254.44"/>
    <n v="29282.94"/>
    <d v="2020-02-07T11:15:15"/>
    <n v="29253.91"/>
    <n v="0"/>
    <n v="0"/>
    <n v="0.45"/>
    <n v="57"/>
    <n v="33.390000000000022"/>
    <n v="1033.3900000000001"/>
    <x v="4"/>
    <n v="6"/>
    <d v="1900-01-05T00:00:00"/>
    <n v="11"/>
    <n v="1"/>
    <n v="3"/>
    <n v="-1.5"/>
    <n v="30"/>
    <n v="3"/>
    <n v="0.1"/>
    <n v="1032.94"/>
    <n v="1033.3900000000001"/>
    <d v="2020-02-07T11:13:37"/>
    <n v="1032.94"/>
    <n v="1032.94"/>
    <d v="2020-02-07T14:37:05"/>
    <n v="1047.8900000000001"/>
    <n v="0"/>
    <e v="#N/A"/>
    <n v="4.3564969891769653E-4"/>
    <n v="1.4473251108486499E-2"/>
    <n v="1033.3900000000001"/>
    <n v="1032.94"/>
    <s v=""/>
    <n v="1"/>
    <n v="1"/>
    <s v=""/>
    <n v="73.000000000000014"/>
    <n v="0"/>
    <n v="1"/>
    <s v="Non conforme"/>
    <m/>
    <m/>
    <n v="0"/>
    <n v="0"/>
    <n v="0"/>
    <s v="Non"/>
    <s v="Oui"/>
    <s v="Non"/>
    <n v="1.0969"/>
    <n v="12.909142435202392"/>
    <n v="0"/>
    <s v="0"/>
    <s v="Gagnant"/>
    <n v="1"/>
    <n v="0"/>
    <m/>
    <n v="29282.94"/>
    <m/>
    <m/>
    <m/>
    <m/>
    <m/>
  </r>
  <r>
    <x v="57"/>
    <n v="259594554"/>
    <s v="UsaInd"/>
    <s v="buy"/>
    <n v="0.5"/>
    <n v="29251.66"/>
    <n v="29242.66"/>
    <n v="29302.66"/>
    <d v="2020-02-07T11:18:21"/>
    <n v="29252.7"/>
    <n v="0"/>
    <n v="0"/>
    <n v="0.47"/>
    <n v="58"/>
    <n v="33.860000000000021"/>
    <n v="1033.8600000000001"/>
    <x v="4"/>
    <n v="6"/>
    <d v="1900-01-05T00:00:00"/>
    <n v="11"/>
    <n v="0"/>
    <s v=""/>
    <n v="9"/>
    <n v="51"/>
    <n v="5.7"/>
    <n v="0.1"/>
    <n v="1033.3900000000001"/>
    <n v="1033.8600000000001"/>
    <d v="2020-02-07T11:13:37"/>
    <n v="1032.94"/>
    <n v="0"/>
    <d v="2020-02-07T14:37:05"/>
    <n v="1047.8900000000001"/>
    <n v="0"/>
    <e v="#N/A"/>
    <n v="4.5481376827724985E-4"/>
    <s v=""/>
    <n v="1033.8600000000001"/>
    <n v="1033.3900000000001"/>
    <s v=""/>
    <n v="1"/>
    <n v="1"/>
    <s v=""/>
    <n v="74.000000000000014"/>
    <n v="0"/>
    <n v="1"/>
    <s v="Non conforme"/>
    <m/>
    <m/>
    <n v="0"/>
    <n v="0"/>
    <n v="0"/>
    <s v="Non"/>
    <s v="Non"/>
    <s v="Non"/>
    <n v="1.0969"/>
    <n v="12.90295641000278"/>
    <n v="0"/>
    <s v="0"/>
    <s v="Gagnant"/>
    <n v="1"/>
    <n v="0"/>
    <m/>
    <n v="29302.66"/>
    <m/>
    <m/>
    <m/>
    <m/>
    <m/>
  </r>
  <r>
    <x v="58"/>
    <n v="259607652"/>
    <s v="UsaInd"/>
    <s v="buy"/>
    <n v="0.5"/>
    <n v="29248.17"/>
    <n v="29249.67"/>
    <n v="29278.17"/>
    <d v="2020-02-07T14:39:28"/>
    <n v="29278.95"/>
    <n v="0"/>
    <n v="0"/>
    <n v="14.03"/>
    <n v="59"/>
    <n v="47.890000000000022"/>
    <n v="1047.8900000000001"/>
    <x v="4"/>
    <n v="6"/>
    <d v="1900-01-05T00:00:00"/>
    <n v="14"/>
    <n v="0"/>
    <s v=""/>
    <n v="-1.5"/>
    <n v="30"/>
    <n v="3"/>
    <n v="3.1"/>
    <n v="1033.8600000000001"/>
    <n v="1047.8900000000001"/>
    <d v="2020-02-07T11:13:37"/>
    <n v="1032.94"/>
    <n v="0"/>
    <d v="2020-02-07T14:37:05"/>
    <n v="1047.8900000000001"/>
    <n v="1047.8900000000001"/>
    <n v="1047.8900000000001"/>
    <n v="1.357050277600446E-2"/>
    <s v=""/>
    <n v="1047.8900000000001"/>
    <n v="1033.8600000000001"/>
    <s v=""/>
    <n v="30.8"/>
    <n v="30.8"/>
    <s v=""/>
    <n v="104.80000000000001"/>
    <n v="0"/>
    <n v="1"/>
    <s v="Non conforme"/>
    <m/>
    <m/>
    <n v="0"/>
    <n v="0"/>
    <n v="0"/>
    <s v="Non"/>
    <s v="Oui"/>
    <s v="Oui"/>
    <n v="1.0969"/>
    <n v="12.89555189058529"/>
    <n v="0"/>
    <s v="+"/>
    <s v="Gagnant"/>
    <n v="1"/>
    <n v="0"/>
    <m/>
    <n v="29278.17"/>
    <m/>
    <m/>
    <m/>
    <m/>
    <m/>
  </r>
  <r>
    <x v="59"/>
    <n v="259684489"/>
    <s v="UsaInd"/>
    <s v="buy"/>
    <n v="0.5"/>
    <n v="29007.78"/>
    <n v="28997.78"/>
    <m/>
    <d v="2020-02-10T15:05:08"/>
    <n v="28997.77"/>
    <n v="0"/>
    <n v="0"/>
    <n v="-4.58"/>
    <n v="60"/>
    <n v="43.310000000000024"/>
    <n v="1043.31"/>
    <x v="5"/>
    <n v="7"/>
    <d v="1900-01-01T00:00:00"/>
    <n v="15"/>
    <n v="1"/>
    <n v="19"/>
    <n v="10"/>
    <n v="200"/>
    <n v="20"/>
    <n v="-1"/>
    <n v="1047.8899999999999"/>
    <n v="1043.31"/>
    <d v="2020-02-10T15:03:54"/>
    <n v="1047.8899999999999"/>
    <n v="1047.8899999999999"/>
    <d v="2020-02-10T21:56:32"/>
    <n v="984.33"/>
    <n v="0"/>
    <e v="#N/A"/>
    <n v="-4.3706877630284935E-3"/>
    <n v="-6.0655221444998846E-2"/>
    <n v="1047.8900000000001"/>
    <n v="1043.31"/>
    <n v="-4.3706877630287355E-3"/>
    <n v="-10"/>
    <s v=""/>
    <n v="-10"/>
    <n v="94.800000000000011"/>
    <n v="0"/>
    <n v="1"/>
    <s v="Non conforme"/>
    <m/>
    <m/>
    <n v="0"/>
    <n v="0"/>
    <n v="0"/>
    <s v="Non"/>
    <s v="Non"/>
    <s v="Non"/>
    <n v="1.0951"/>
    <n v="12.639067186405249"/>
    <n v="0"/>
    <s v="--"/>
    <s v="Perdant"/>
    <n v="0"/>
    <n v="1"/>
    <m/>
    <s v=""/>
    <m/>
    <m/>
    <m/>
    <m/>
    <m/>
  </r>
  <r>
    <x v="60"/>
    <n v="259685007"/>
    <s v="UsaInd"/>
    <s v="sell"/>
    <n v="0.5"/>
    <n v="29004.74"/>
    <n v="29014.74"/>
    <n v="28984.74"/>
    <d v="2020-02-10T15:13:50"/>
    <n v="28983.91"/>
    <n v="0"/>
    <n v="0"/>
    <n v="9.5299999999999994"/>
    <n v="61"/>
    <n v="52.840000000000025"/>
    <n v="1052.8399999999999"/>
    <x v="5"/>
    <n v="7"/>
    <d v="1900-01-01T00:00:00"/>
    <n v="15"/>
    <n v="0"/>
    <s v=""/>
    <n v="10"/>
    <n v="20"/>
    <n v="2"/>
    <n v="2.1"/>
    <n v="1043.31"/>
    <n v="1052.8399999999999"/>
    <d v="2020-02-10T15:03:54"/>
    <n v="1047.8899999999999"/>
    <n v="0"/>
    <d v="2020-02-10T21:56:32"/>
    <n v="984.33"/>
    <n v="0"/>
    <e v="#N/A"/>
    <n v="9.1343895869875433E-3"/>
    <s v=""/>
    <n v="1052.8399999999999"/>
    <n v="1047.8900000000001"/>
    <s v=""/>
    <n v="20.8"/>
    <n v="20.8"/>
    <s v=""/>
    <n v="115.60000000000001"/>
    <n v="0"/>
    <n v="1"/>
    <s v="Non conforme"/>
    <m/>
    <m/>
    <n v="0"/>
    <n v="0"/>
    <n v="0"/>
    <s v="Non"/>
    <s v="Non"/>
    <s v="Oui"/>
    <n v="1.0951"/>
    <n v="12.693220723338611"/>
    <n v="0"/>
    <s v="+"/>
    <s v="Gagnant"/>
    <n v="1"/>
    <n v="0"/>
    <m/>
    <n v="28984.74"/>
    <m/>
    <m/>
    <m/>
    <m/>
    <m/>
  </r>
  <r>
    <x v="61"/>
    <n v="259690209"/>
    <s v="UsaInd"/>
    <s v="sell"/>
    <n v="0.5"/>
    <n v="29088.84"/>
    <n v="29098.84"/>
    <n v="28988.84"/>
    <d v="2020-02-10T15:40:36"/>
    <n v="29098.89"/>
    <n v="0"/>
    <n v="0"/>
    <n v="-4.5999999999999996"/>
    <n v="62"/>
    <n v="48.240000000000023"/>
    <n v="1048.24"/>
    <x v="5"/>
    <n v="7"/>
    <d v="1900-01-01T00:00:00"/>
    <n v="15"/>
    <n v="0"/>
    <s v=""/>
    <n v="10"/>
    <n v="100"/>
    <n v="10"/>
    <n v="-1"/>
    <n v="1052.8399999999999"/>
    <n v="1048.24"/>
    <d v="2020-02-10T15:03:54"/>
    <n v="1047.8899999999999"/>
    <n v="0"/>
    <d v="2020-02-10T21:56:32"/>
    <n v="984.33"/>
    <n v="0"/>
    <e v="#N/A"/>
    <n v="-4.3691349112874788E-3"/>
    <s v=""/>
    <n v="1052.8399999999999"/>
    <n v="1048.24"/>
    <n v="-4.3691349112874311E-3"/>
    <n v="-10"/>
    <s v=""/>
    <n v="-10"/>
    <n v="105.60000000000001"/>
    <n v="0"/>
    <n v="1"/>
    <s v="Non conforme"/>
    <m/>
    <m/>
    <n v="0"/>
    <n v="0"/>
    <n v="0"/>
    <s v="Non"/>
    <s v="Non"/>
    <s v="Non"/>
    <n v="1.0951"/>
    <n v="12.614796581298728"/>
    <n v="0"/>
    <s v="--"/>
    <s v="Perdant"/>
    <n v="0"/>
    <n v="1"/>
    <m/>
    <n v="28988.84"/>
    <m/>
    <m/>
    <m/>
    <m/>
    <m/>
  </r>
  <r>
    <x v="62"/>
    <n v="259690368"/>
    <s v="UsaInd"/>
    <s v="sell"/>
    <n v="0.5"/>
    <n v="29101.79"/>
    <n v="29111.79"/>
    <n v="29001.79"/>
    <d v="2020-02-10T15:41:19"/>
    <n v="29113.07"/>
    <n v="0"/>
    <n v="0"/>
    <n v="-5.16"/>
    <n v="63"/>
    <n v="43.080000000000027"/>
    <n v="1043.08"/>
    <x v="5"/>
    <n v="7"/>
    <d v="1900-01-01T00:00:00"/>
    <n v="15"/>
    <n v="0"/>
    <s v=""/>
    <n v="10"/>
    <n v="100"/>
    <n v="10"/>
    <n v="-1.1000000000000001"/>
    <n v="1048.24"/>
    <n v="1043.08"/>
    <d v="2020-02-10T15:03:54"/>
    <n v="1047.8899999999999"/>
    <n v="0"/>
    <d v="2020-02-10T21:56:32"/>
    <n v="984.33"/>
    <n v="0"/>
    <e v="#N/A"/>
    <n v="-4.9225368236282549E-3"/>
    <s v=""/>
    <n v="1052.8399999999999"/>
    <n v="1043.08"/>
    <n v="-9.2701645074275696E-3"/>
    <n v="-11.3"/>
    <s v=""/>
    <n v="-11.3"/>
    <n v="94.300000000000011"/>
    <n v="0"/>
    <n v="1"/>
    <s v="Non conforme"/>
    <m/>
    <m/>
    <n v="0"/>
    <n v="0"/>
    <n v="0"/>
    <s v="Non"/>
    <s v="Non"/>
    <s v="Non"/>
    <n v="1.0951"/>
    <n v="12.675794793836237"/>
    <n v="0"/>
    <s v="--"/>
    <s v="Perdant"/>
    <n v="0"/>
    <n v="1"/>
    <m/>
    <n v="29001.79"/>
    <m/>
    <m/>
    <m/>
    <m/>
    <m/>
  </r>
  <r>
    <x v="63"/>
    <n v="259690510"/>
    <s v="UsaInd"/>
    <s v="sell"/>
    <n v="0.5"/>
    <n v="29104.14"/>
    <n v="29102.639999999999"/>
    <n v="29034.14"/>
    <d v="2020-02-10T15:53:07"/>
    <n v="29102.86"/>
    <n v="0"/>
    <n v="0"/>
    <n v="0.59"/>
    <n v="64"/>
    <n v="43.67000000000003"/>
    <n v="1043.67"/>
    <x v="5"/>
    <n v="7"/>
    <d v="1900-01-01T00:00:00"/>
    <n v="15"/>
    <n v="0"/>
    <s v=""/>
    <n v="-1.5"/>
    <n v="70"/>
    <n v="7"/>
    <n v="0.1"/>
    <n v="1043.0800000000002"/>
    <n v="1043.67"/>
    <d v="2020-02-10T15:03:54"/>
    <n v="1047.8899999999999"/>
    <n v="0"/>
    <d v="2020-02-10T21:56:32"/>
    <n v="984.33"/>
    <n v="0"/>
    <e v="#N/A"/>
    <n v="5.6563254975641188E-4"/>
    <s v=""/>
    <n v="1052.8399999999999"/>
    <n v="1043.67"/>
    <n v="-8.7097754644578362E-3"/>
    <n v="1.3"/>
    <n v="1.3"/>
    <s v=""/>
    <n v="95.600000000000009"/>
    <n v="0"/>
    <n v="1"/>
    <s v="Non conforme"/>
    <m/>
    <m/>
    <n v="0"/>
    <n v="0"/>
    <n v="0"/>
    <s v="Non"/>
    <s v="Oui"/>
    <s v="Non"/>
    <n v="1.0951"/>
    <n v="12.739529179031605"/>
    <n v="0"/>
    <s v="0"/>
    <s v="Gagnant"/>
    <n v="1"/>
    <n v="0"/>
    <m/>
    <n v="29034.14"/>
    <m/>
    <m/>
    <m/>
    <m/>
    <m/>
  </r>
  <r>
    <x v="64"/>
    <n v="259690945"/>
    <s v="UsaInd"/>
    <s v="sell"/>
    <n v="0.5"/>
    <n v="29133.81"/>
    <n v="29143.81"/>
    <m/>
    <d v="2020-02-10T15:59:58"/>
    <n v="29144"/>
    <n v="0"/>
    <n v="0"/>
    <n v="-4.67"/>
    <n v="65"/>
    <n v="39.000000000000028"/>
    <n v="1039"/>
    <x v="5"/>
    <n v="7"/>
    <d v="1900-01-01T00:00:00"/>
    <n v="15"/>
    <n v="0"/>
    <s v=""/>
    <n v="10"/>
    <n v="200"/>
    <n v="20"/>
    <n v="-1"/>
    <n v="1043.67"/>
    <n v="1039"/>
    <d v="2020-02-10T15:03:54"/>
    <n v="1047.8899999999999"/>
    <n v="0"/>
    <d v="2020-02-10T21:56:32"/>
    <n v="984.33"/>
    <n v="0"/>
    <e v="#N/A"/>
    <n v="-4.4745944599347233E-3"/>
    <s v=""/>
    <n v="1052.8399999999999"/>
    <n v="1039"/>
    <n v="-1.3145397211352106E-2"/>
    <n v="-10.199999999999999"/>
    <s v=""/>
    <n v="-10.199999999999999"/>
    <n v="85.4"/>
    <n v="0"/>
    <n v="1"/>
    <s v="Non conforme"/>
    <m/>
    <m/>
    <n v="0"/>
    <n v="0"/>
    <n v="0"/>
    <s v="Non"/>
    <s v="Non"/>
    <s v="Non"/>
    <n v="1.0951"/>
    <n v="12.745307237084017"/>
    <n v="0"/>
    <s v="--"/>
    <s v="Perdant"/>
    <n v="0"/>
    <n v="1"/>
    <m/>
    <s v=""/>
    <m/>
    <m/>
    <m/>
    <m/>
    <m/>
  </r>
  <r>
    <x v="65"/>
    <n v="259693490"/>
    <s v="UsaInd"/>
    <s v="sell"/>
    <n v="0.5"/>
    <n v="29152"/>
    <n v="29161.02"/>
    <n v="29051.02"/>
    <d v="2020-02-10T16:03:21"/>
    <n v="29161.06"/>
    <n v="0"/>
    <n v="0"/>
    <n v="-4.1500000000000004"/>
    <n v="66"/>
    <n v="34.85000000000003"/>
    <n v="1034.8500000000001"/>
    <x v="5"/>
    <n v="7"/>
    <d v="1900-01-01T00:00:00"/>
    <n v="16"/>
    <n v="0"/>
    <s v=""/>
    <n v="9"/>
    <n v="101"/>
    <n v="11.2"/>
    <n v="-0.9"/>
    <n v="1039.0000000000002"/>
    <n v="1034.8500000000001"/>
    <d v="2020-02-10T15:03:54"/>
    <n v="1047.8899999999999"/>
    <n v="0"/>
    <d v="2020-02-10T21:56:32"/>
    <n v="984.33"/>
    <n v="0"/>
    <e v="#N/A"/>
    <n v="-3.9942252165544659E-3"/>
    <s v=""/>
    <n v="1052.8399999999999"/>
    <n v="1034.8500000000001"/>
    <n v="-1.7087116750883147E-2"/>
    <n v="-9.1"/>
    <s v=""/>
    <n v="-9.1"/>
    <n v="76.300000000000011"/>
    <n v="0"/>
    <n v="1"/>
    <s v="Non conforme"/>
    <m/>
    <m/>
    <n v="0"/>
    <n v="0"/>
    <n v="0"/>
    <s v="Non"/>
    <s v="Non"/>
    <s v="Non"/>
    <n v="1.0951"/>
    <n v="12.810587085405992"/>
    <n v="0"/>
    <s v="--"/>
    <s v="Perdant"/>
    <n v="0"/>
    <n v="1"/>
    <m/>
    <n v="29051.02"/>
    <m/>
    <m/>
    <m/>
    <m/>
    <m/>
  </r>
  <r>
    <x v="66"/>
    <n v="259693607"/>
    <s v="UsaInd"/>
    <s v="sell"/>
    <n v="0.5"/>
    <n v="29155.79"/>
    <n v="29165.79"/>
    <n v="29055.79"/>
    <d v="2020-02-10T16:05:10"/>
    <n v="29165.8"/>
    <n v="0"/>
    <n v="0"/>
    <n v="-4.59"/>
    <n v="67"/>
    <n v="30.26000000000003"/>
    <n v="1030.26"/>
    <x v="5"/>
    <n v="7"/>
    <d v="1900-01-01T00:00:00"/>
    <n v="16"/>
    <n v="0"/>
    <s v=""/>
    <n v="10"/>
    <n v="100"/>
    <n v="10"/>
    <n v="-1"/>
    <n v="1034.8499999999999"/>
    <n v="1030.26"/>
    <d v="2020-02-10T15:03:54"/>
    <n v="1047.8899999999999"/>
    <n v="0"/>
    <d v="2020-02-10T21:56:32"/>
    <n v="984.33"/>
    <n v="0"/>
    <e v="#N/A"/>
    <n v="-4.4354254239744101E-3"/>
    <s v=""/>
    <n v="1052.8399999999999"/>
    <n v="1030.26"/>
    <n v="-2.1446753542798458E-2"/>
    <n v="-10"/>
    <s v=""/>
    <n v="-10"/>
    <n v="66.300000000000011"/>
    <n v="0"/>
    <n v="1"/>
    <s v="Non conforme"/>
    <m/>
    <m/>
    <n v="0"/>
    <n v="0"/>
    <n v="0"/>
    <s v="Non"/>
    <s v="Non"/>
    <s v="Non"/>
    <n v="1.0951"/>
    <n v="12.863632813754156"/>
    <n v="0"/>
    <s v="--"/>
    <s v="Perdant"/>
    <n v="0"/>
    <n v="1"/>
    <m/>
    <n v="29055.79"/>
    <m/>
    <m/>
    <m/>
    <m/>
    <m/>
  </r>
  <r>
    <x v="67"/>
    <n v="259692989"/>
    <s v="UsaInd"/>
    <s v="sell"/>
    <n v="0.5"/>
    <n v="29166.959999999999"/>
    <n v="29176.959999999999"/>
    <n v="29066.959999999999"/>
    <d v="2020-02-10T16:09:30"/>
    <n v="29176.97"/>
    <n v="0"/>
    <n v="0"/>
    <n v="-4.58"/>
    <n v="68"/>
    <n v="25.680000000000028"/>
    <n v="1025.68"/>
    <x v="5"/>
    <n v="7"/>
    <d v="1900-01-01T00:00:00"/>
    <n v="16"/>
    <n v="0"/>
    <s v=""/>
    <n v="10"/>
    <n v="100"/>
    <n v="10"/>
    <n v="-1"/>
    <n v="1030.26"/>
    <n v="1025.68"/>
    <d v="2020-02-10T15:03:54"/>
    <n v="1047.8899999999999"/>
    <n v="0"/>
    <d v="2020-02-10T21:56:32"/>
    <n v="984.33"/>
    <n v="0"/>
    <e v="#N/A"/>
    <n v="-4.4454797818025815E-3"/>
    <s v=""/>
    <n v="1052.8399999999999"/>
    <n v="1025.68"/>
    <n v="-2.5796892215341205E-2"/>
    <n v="-10"/>
    <s v=""/>
    <n v="-10"/>
    <n v="56.300000000000011"/>
    <n v="0"/>
    <n v="1"/>
    <s v="Non conforme"/>
    <m/>
    <m/>
    <n v="0"/>
    <n v="0"/>
    <n v="0"/>
    <s v="Non"/>
    <s v="Non"/>
    <s v="Non"/>
    <n v="1.0951"/>
    <n v="12.925892889350166"/>
    <n v="0"/>
    <s v="--"/>
    <s v="Perdant"/>
    <n v="0"/>
    <n v="1"/>
    <m/>
    <n v="29066.959999999999"/>
    <m/>
    <m/>
    <m/>
    <m/>
    <m/>
  </r>
  <r>
    <x v="68"/>
    <n v="259694194"/>
    <s v="UsaInd"/>
    <s v="sell"/>
    <n v="0.5"/>
    <n v="29172.93"/>
    <n v="29182.93"/>
    <n v="29022.93"/>
    <d v="2020-02-10T16:12:23"/>
    <n v="29183.09"/>
    <n v="0"/>
    <n v="0"/>
    <n v="-4.6500000000000004"/>
    <n v="69"/>
    <n v="21.03000000000003"/>
    <n v="1021.0300000000001"/>
    <x v="5"/>
    <n v="7"/>
    <d v="1900-01-01T00:00:00"/>
    <n v="16"/>
    <n v="0"/>
    <s v=""/>
    <n v="10"/>
    <n v="150"/>
    <n v="15"/>
    <n v="-1"/>
    <n v="1025.68"/>
    <n v="1021.03"/>
    <d v="2020-02-10T15:03:54"/>
    <n v="1047.8899999999999"/>
    <n v="0"/>
    <d v="2020-02-10T21:56:32"/>
    <n v="984.33"/>
    <n v="0"/>
    <e v="#N/A"/>
    <n v="-4.5335777240465749E-3"/>
    <s v=""/>
    <n v="1052.8399999999999"/>
    <n v="1021.0300000000001"/>
    <n v="-3.0213517723490568E-2"/>
    <n v="-10.199999999999999"/>
    <s v=""/>
    <n v="-10.199999999999999"/>
    <n v="46.100000000000009"/>
    <n v="0"/>
    <n v="1"/>
    <s v="Non conforme"/>
    <m/>
    <m/>
    <n v="0"/>
    <n v="0"/>
    <n v="0"/>
    <s v="Non"/>
    <s v="Non"/>
    <s v="Non"/>
    <n v="1.0951"/>
    <n v="12.986268803768837"/>
    <n v="0"/>
    <s v="--"/>
    <s v="Perdant"/>
    <n v="0"/>
    <n v="1"/>
    <m/>
    <n v="29022.93"/>
    <m/>
    <m/>
    <m/>
    <m/>
    <m/>
  </r>
  <r>
    <x v="69"/>
    <n v="259694452"/>
    <s v="UsaInd"/>
    <s v="sell"/>
    <n v="0.5"/>
    <n v="29175.11"/>
    <n v="29185.11"/>
    <n v="29055.11"/>
    <d v="2020-02-10T16:19:09"/>
    <n v="29185.11"/>
    <n v="0"/>
    <n v="0"/>
    <n v="-4.57"/>
    <n v="70"/>
    <n v="16.460000000000029"/>
    <n v="1016.46"/>
    <x v="5"/>
    <n v="7"/>
    <d v="1900-01-01T00:00:00"/>
    <n v="16"/>
    <n v="0"/>
    <s v=""/>
    <n v="10"/>
    <n v="120"/>
    <n v="12"/>
    <n v="-1"/>
    <n v="1021.0300000000001"/>
    <n v="1016.46"/>
    <d v="2020-02-10T15:03:54"/>
    <n v="1047.8899999999999"/>
    <n v="0"/>
    <d v="2020-02-10T21:56:32"/>
    <n v="984.33"/>
    <n v="0"/>
    <e v="#N/A"/>
    <n v="-4.4758724033574426E-3"/>
    <s v=""/>
    <n v="1052.8399999999999"/>
    <n v="1016.46"/>
    <n v="-3.4554158276661084E-2"/>
    <n v="-10"/>
    <s v=""/>
    <n v="-10"/>
    <n v="36.100000000000009"/>
    <n v="0"/>
    <n v="1"/>
    <s v="Non conforme"/>
    <m/>
    <m/>
    <n v="0"/>
    <n v="0"/>
    <n v="0"/>
    <s v="Non"/>
    <s v="Non"/>
    <s v="Non"/>
    <n v="1.0951"/>
    <n v="13.04638603130239"/>
    <n v="0"/>
    <s v="--"/>
    <s v="Perdant"/>
    <n v="0"/>
    <n v="1"/>
    <m/>
    <n v="29055.11"/>
    <m/>
    <m/>
    <m/>
    <m/>
    <m/>
  </r>
  <r>
    <x v="70"/>
    <n v="259695310"/>
    <s v="UsaInd"/>
    <s v="sell"/>
    <n v="0.5"/>
    <n v="29184.9"/>
    <n v="29194.9"/>
    <n v="29054.9"/>
    <d v="2020-02-10T16:30:40"/>
    <n v="29195.14"/>
    <n v="0"/>
    <n v="0"/>
    <n v="-4.68"/>
    <n v="71"/>
    <n v="11.78000000000003"/>
    <n v="1011.78"/>
    <x v="5"/>
    <n v="7"/>
    <d v="1900-01-01T00:00:00"/>
    <n v="16"/>
    <n v="0"/>
    <s v=""/>
    <n v="10"/>
    <n v="130"/>
    <n v="13"/>
    <n v="-1"/>
    <n v="1016.4599999999999"/>
    <n v="1011.78"/>
    <d v="2020-02-10T15:03:54"/>
    <n v="1047.8899999999999"/>
    <n v="0"/>
    <d v="2020-02-10T21:56:32"/>
    <n v="984.33"/>
    <n v="0"/>
    <e v="#N/A"/>
    <n v="-4.6042146272356511E-3"/>
    <s v=""/>
    <n v="1052.8399999999999"/>
    <n v="1011.78"/>
    <n v="-3.8999278142927696E-2"/>
    <n v="-10.199999999999999"/>
    <s v=""/>
    <n v="-10.199999999999999"/>
    <n v="25.900000000000009"/>
    <n v="0"/>
    <n v="1"/>
    <s v="Non conforme"/>
    <m/>
    <m/>
    <n v="0"/>
    <n v="0"/>
    <n v="0"/>
    <s v="Non"/>
    <s v="Non"/>
    <s v="Oui"/>
    <n v="1.0951"/>
    <n v="13.10944005761594"/>
    <n v="0"/>
    <s v="--"/>
    <s v="Perdant"/>
    <n v="0"/>
    <n v="1"/>
    <m/>
    <n v="29054.9"/>
    <m/>
    <m/>
    <m/>
    <m/>
    <m/>
  </r>
  <r>
    <x v="71"/>
    <n v="259696313"/>
    <s v="UsaInd"/>
    <s v="sell"/>
    <n v="0.5"/>
    <n v="29206.86"/>
    <n v="29216.400000000001"/>
    <n v="29056.400000000001"/>
    <d v="2020-02-10T16:38:38"/>
    <n v="29216.98"/>
    <n v="0"/>
    <n v="0"/>
    <n v="-4.63"/>
    <n v="72"/>
    <n v="7.1500000000000297"/>
    <n v="1007.15"/>
    <x v="5"/>
    <n v="7"/>
    <d v="1900-01-01T00:00:00"/>
    <n v="16"/>
    <n v="0"/>
    <s v=""/>
    <n v="9.5"/>
    <n v="150.5"/>
    <n v="15.8"/>
    <n v="-1"/>
    <n v="1011.78"/>
    <n v="1007.15"/>
    <d v="2020-02-10T15:03:54"/>
    <n v="1047.8899999999999"/>
    <n v="0"/>
    <d v="2020-02-10T21:56:32"/>
    <n v="984.33"/>
    <n v="0"/>
    <e v="#N/A"/>
    <n v="-4.5760936171895033E-3"/>
    <s v=""/>
    <n v="1052.8399999999999"/>
    <n v="1007.15"/>
    <n v="-4.3396907412332264E-2"/>
    <n v="-10.1"/>
    <s v=""/>
    <n v="-10.1"/>
    <n v="15.80000000000001"/>
    <n v="0"/>
    <n v="1"/>
    <s v="Non conforme"/>
    <m/>
    <m/>
    <n v="0"/>
    <n v="0"/>
    <n v="0"/>
    <s v="Non"/>
    <s v="Non"/>
    <s v="Oui"/>
    <n v="1.0951"/>
    <n v="13.179987667837029"/>
    <n v="0"/>
    <s v="--"/>
    <s v="Perdant"/>
    <n v="0"/>
    <n v="1"/>
    <m/>
    <n v="29056.400000000001"/>
    <m/>
    <m/>
    <m/>
    <m/>
    <m/>
  </r>
  <r>
    <x v="72"/>
    <n v="259697827"/>
    <s v="UsaInd"/>
    <s v="sell"/>
    <n v="0.5"/>
    <n v="29225.93"/>
    <n v="29235.93"/>
    <n v="29102.74"/>
    <d v="2020-02-10T21:11:41"/>
    <n v="29236.240000000002"/>
    <n v="0"/>
    <n v="0"/>
    <n v="-4.7300000000000004"/>
    <n v="73"/>
    <n v="2.4200000000000292"/>
    <n v="1002.4200000000001"/>
    <x v="5"/>
    <n v="7"/>
    <d v="1900-01-01T00:00:00"/>
    <n v="21"/>
    <n v="0"/>
    <s v=""/>
    <n v="10"/>
    <n v="123.2"/>
    <n v="12.3"/>
    <n v="-1"/>
    <n v="1007.1500000000001"/>
    <n v="1002.4200000000001"/>
    <d v="2020-02-10T15:03:54"/>
    <n v="1047.8899999999999"/>
    <n v="0"/>
    <d v="2020-02-10T21:56:32"/>
    <n v="984.33"/>
    <n v="0"/>
    <e v="#N/A"/>
    <n v="-4.6964205927617709E-3"/>
    <s v=""/>
    <n v="1052.8399999999999"/>
    <n v="1002.4200000000001"/>
    <n v="-4.7889517875460474E-2"/>
    <n v="-10.3"/>
    <s v=""/>
    <n v="-10.3"/>
    <n v="5.5000000000000089"/>
    <n v="0"/>
    <n v="1"/>
    <s v="Non conforme"/>
    <m/>
    <m/>
    <n v="0"/>
    <n v="0"/>
    <n v="0"/>
    <s v="Non"/>
    <s v="Non"/>
    <s v="Non"/>
    <n v="1.0951"/>
    <n v="13.249222945901193"/>
    <n v="0"/>
    <s v="--"/>
    <s v="Perdant"/>
    <n v="0"/>
    <n v="1"/>
    <m/>
    <n v="29102.74"/>
    <m/>
    <m/>
    <m/>
    <m/>
    <m/>
  </r>
  <r>
    <x v="73"/>
    <n v="259714825"/>
    <s v="UsaInd"/>
    <s v="sell"/>
    <n v="0.5"/>
    <n v="29241.23"/>
    <n v="29239.73"/>
    <n v="29141.23"/>
    <d v="2020-02-10T21:49:17"/>
    <n v="29240.18"/>
    <n v="0"/>
    <n v="0"/>
    <n v="0.49"/>
    <n v="74"/>
    <n v="2.9100000000000295"/>
    <n v="1002.9100000000001"/>
    <x v="5"/>
    <n v="7"/>
    <d v="1900-01-01T00:00:00"/>
    <n v="21"/>
    <n v="0"/>
    <s v=""/>
    <n v="-1.5"/>
    <n v="100"/>
    <n v="10"/>
    <n v="0.1"/>
    <n v="1002.4200000000001"/>
    <n v="1002.9100000000001"/>
    <d v="2020-02-10T15:03:54"/>
    <n v="1047.8899999999999"/>
    <n v="0"/>
    <d v="2020-02-10T21:56:32"/>
    <n v="984.33"/>
    <n v="0"/>
    <e v="#N/A"/>
    <n v="4.8881706270825504E-4"/>
    <s v=""/>
    <n v="1052.8399999999999"/>
    <n v="1002.9100000000001"/>
    <n v="-4.7424110026214605E-2"/>
    <n v="1"/>
    <n v="1"/>
    <s v=""/>
    <n v="6.5000000000000089"/>
    <n v="0"/>
    <n v="1"/>
    <s v="Non conforme"/>
    <m/>
    <m/>
    <n v="0"/>
    <n v="0"/>
    <n v="0"/>
    <s v="Non"/>
    <s v="Oui"/>
    <s v="Non"/>
    <n v="1.0951"/>
    <n v="13.318709276923963"/>
    <n v="0"/>
    <s v="0"/>
    <s v="Gagnant"/>
    <n v="1"/>
    <n v="0"/>
    <m/>
    <n v="29141.23"/>
    <m/>
    <m/>
    <m/>
    <m/>
    <m/>
  </r>
  <r>
    <x v="74"/>
    <n v="259716018"/>
    <s v="UsaInd"/>
    <s v="sell"/>
    <n v="0.5"/>
    <n v="29237.22"/>
    <n v="29247.22"/>
    <n v="29207.22"/>
    <d v="2020-02-10T21:53:52"/>
    <n v="29247.31"/>
    <n v="0"/>
    <n v="0"/>
    <n v="-4.63"/>
    <n v="75"/>
    <n v="-1.7199999999999704"/>
    <n v="998.28"/>
    <x v="5"/>
    <n v="7"/>
    <d v="1900-01-01T00:00:00"/>
    <n v="21"/>
    <n v="0"/>
    <s v=""/>
    <n v="10"/>
    <n v="30"/>
    <n v="3"/>
    <n v="-1"/>
    <n v="1002.91"/>
    <n v="998.28"/>
    <d v="2020-02-10T15:03:54"/>
    <n v="1047.8899999999999"/>
    <n v="0"/>
    <d v="2020-02-10T21:56:32"/>
    <n v="984.33"/>
    <n v="0"/>
    <e v="#N/A"/>
    <n v="-4.6165657935407917E-3"/>
    <s v=""/>
    <n v="1052.8399999999999"/>
    <n v="998.28"/>
    <n v="-5.1821739295619396E-2"/>
    <n v="-10.1"/>
    <s v=""/>
    <n v="-10.1"/>
    <n v="-3.5999999999999908"/>
    <n v="0"/>
    <n v="1"/>
    <s v="Non conforme"/>
    <m/>
    <m/>
    <n v="0"/>
    <n v="0"/>
    <n v="0"/>
    <s v="Non"/>
    <s v="Non"/>
    <s v="Non"/>
    <n v="1.0951"/>
    <n v="13.31037647480805"/>
    <n v="0"/>
    <s v="--"/>
    <s v="Perdant"/>
    <n v="0"/>
    <n v="1"/>
    <m/>
    <n v="29207.22"/>
    <m/>
    <m/>
    <m/>
    <m/>
    <m/>
  </r>
  <r>
    <x v="75"/>
    <n v="259716050"/>
    <s v="UsaInd"/>
    <s v="sell"/>
    <n v="0.5"/>
    <n v="29245.24"/>
    <n v="29255.24"/>
    <n v="29205.24"/>
    <d v="2020-02-10T21:54:44"/>
    <n v="29255.48"/>
    <n v="0"/>
    <n v="0"/>
    <n v="-4.6900000000000004"/>
    <n v="76"/>
    <n v="-6.4099999999999708"/>
    <n v="993.59"/>
    <x v="5"/>
    <n v="7"/>
    <d v="1900-01-01T00:00:00"/>
    <n v="21"/>
    <n v="0"/>
    <s v=""/>
    <n v="10"/>
    <n v="40"/>
    <n v="4"/>
    <n v="-1"/>
    <n v="998.28000000000009"/>
    <n v="993.59"/>
    <d v="2020-02-10T15:03:54"/>
    <n v="1047.8899999999999"/>
    <n v="0"/>
    <d v="2020-02-10T21:56:32"/>
    <n v="984.33"/>
    <n v="0"/>
    <e v="#N/A"/>
    <n v="-4.698080698801994E-3"/>
    <s v=""/>
    <n v="1052.8399999999999"/>
    <n v="993.59"/>
    <n v="-5.6276357281258238E-2"/>
    <n v="-10.199999999999999"/>
    <s v=""/>
    <n v="-10.199999999999999"/>
    <n v="-13.79999999999999"/>
    <n v="0"/>
    <n v="1"/>
    <s v="Non conforme"/>
    <m/>
    <m/>
    <n v="0"/>
    <n v="0"/>
    <n v="0"/>
    <s v="Non"/>
    <s v="Non"/>
    <s v="Non"/>
    <n v="1.0951"/>
    <n v="13.375777774170077"/>
    <n v="0"/>
    <s v="--"/>
    <s v="Perdant"/>
    <n v="0"/>
    <n v="1"/>
    <m/>
    <n v="29205.24"/>
    <m/>
    <m/>
    <m/>
    <m/>
    <m/>
  </r>
  <r>
    <x v="76"/>
    <n v="259716124"/>
    <s v="UsaInd"/>
    <s v="sell"/>
    <n v="0.5"/>
    <n v="29250.41"/>
    <n v="29260.41"/>
    <n v="29200.41"/>
    <d v="2020-02-10T21:56:25"/>
    <n v="29260.43"/>
    <n v="0"/>
    <n v="0"/>
    <n v="-4.59"/>
    <n v="77"/>
    <n v="-10.999999999999972"/>
    <n v="989"/>
    <x v="5"/>
    <n v="7"/>
    <d v="1900-01-01T00:00:00"/>
    <n v="21"/>
    <n v="0"/>
    <s v=""/>
    <n v="10"/>
    <n v="50"/>
    <n v="5"/>
    <n v="-1"/>
    <n v="993.59"/>
    <n v="989"/>
    <d v="2020-02-10T15:03:54"/>
    <n v="1047.8899999999999"/>
    <n v="0"/>
    <d v="2020-02-10T21:56:32"/>
    <n v="984.33"/>
    <n v="0"/>
    <e v="#N/A"/>
    <n v="-4.6196117110679771E-3"/>
    <s v=""/>
    <n v="1052.8399999999999"/>
    <n v="989"/>
    <n v="-6.0635994073173438E-2"/>
    <n v="-10"/>
    <s v=""/>
    <n v="-10"/>
    <n v="-23.79999999999999"/>
    <n v="0"/>
    <n v="1"/>
    <s v="Non conforme"/>
    <m/>
    <m/>
    <n v="0"/>
    <n v="0"/>
    <n v="0"/>
    <s v="Non"/>
    <s v="Non"/>
    <s v="Non"/>
    <n v="1.0951"/>
    <n v="13.441290624321866"/>
    <n v="0"/>
    <s v="--"/>
    <s v="Perdant"/>
    <n v="0"/>
    <n v="1"/>
    <m/>
    <n v="29200.41"/>
    <m/>
    <m/>
    <m/>
    <m/>
    <m/>
  </r>
  <r>
    <x v="77"/>
    <n v="259716178"/>
    <s v="UsaInd"/>
    <s v="sell"/>
    <n v="0.5"/>
    <n v="29254.2"/>
    <n v="29264.2"/>
    <n v="29154.2"/>
    <d v="2020-02-10T21:57:27"/>
    <n v="29264.400000000001"/>
    <n v="0"/>
    <n v="0"/>
    <n v="-4.67"/>
    <n v="78"/>
    <n v="-15.669999999999972"/>
    <n v="984.33"/>
    <x v="5"/>
    <n v="7"/>
    <d v="1900-01-01T00:00:00"/>
    <n v="21"/>
    <n v="0"/>
    <s v=""/>
    <n v="10"/>
    <n v="100"/>
    <n v="10"/>
    <n v="-1"/>
    <n v="989"/>
    <n v="984.33"/>
    <d v="2020-02-10T15:03:54"/>
    <n v="1047.8899999999999"/>
    <n v="0"/>
    <d v="2020-02-10T21:56:32"/>
    <n v="984.33"/>
    <n v="984.33"/>
    <n v="984.33"/>
    <n v="-4.7219413549039017E-3"/>
    <s v=""/>
    <n v="1052.8399999999999"/>
    <n v="984.33"/>
    <n v="-6.5071615820067485E-2"/>
    <n v="-10.199999999999999"/>
    <s v=""/>
    <n v="-10.199999999999999"/>
    <n v="-33.999999999999986"/>
    <n v="0"/>
    <n v="1"/>
    <s v="Non conforme"/>
    <m/>
    <m/>
    <n v="0"/>
    <n v="0"/>
    <n v="0"/>
    <s v="Non"/>
    <s v="Non"/>
    <s v="Non"/>
    <n v="1.0951"/>
    <n v="13.505422029319133"/>
    <n v="0"/>
    <s v="--"/>
    <s v="Perdant"/>
    <n v="0"/>
    <n v="1"/>
    <m/>
    <n v="29154.2"/>
    <m/>
    <m/>
    <m/>
    <m/>
    <m/>
  </r>
  <r>
    <x v="78"/>
    <n v="259755497"/>
    <s v="UsaInd"/>
    <s v="buy"/>
    <n v="0.5"/>
    <n v="29384.55"/>
    <n v="29376.74"/>
    <m/>
    <d v="2020-02-11T15:31:44"/>
    <n v="29372.45"/>
    <n v="0"/>
    <n v="0"/>
    <n v="-5.54"/>
    <n v="79"/>
    <n v="-21.209999999999972"/>
    <n v="978.79000000000008"/>
    <x v="6"/>
    <n v="7"/>
    <d v="1900-01-02T00:00:00"/>
    <n v="15"/>
    <n v="1"/>
    <n v="14"/>
    <n v="7.8"/>
    <n v="200"/>
    <n v="25.6"/>
    <n v="-1.2"/>
    <n v="984.33"/>
    <n v="978.79000000000008"/>
    <d v="2020-02-11T15:31:39"/>
    <n v="984.33"/>
    <n v="984.33"/>
    <d v="2020-02-11T21:10:14"/>
    <n v="921.11"/>
    <n v="0"/>
    <e v="#N/A"/>
    <n v="-5.6281937967957527E-3"/>
    <n v="-6.4226428128777976E-2"/>
    <n v="1052.8399999999999"/>
    <n v="978.79000000000008"/>
    <n v="-7.0333573952357287E-2"/>
    <n v="-12.1"/>
    <s v=""/>
    <n v="-12.1"/>
    <n v="-46.099999999999987"/>
    <n v="0"/>
    <n v="1"/>
    <s v="Non conforme"/>
    <m/>
    <m/>
    <n v="0"/>
    <n v="0"/>
    <n v="0"/>
    <s v="Non"/>
    <s v="Non"/>
    <s v="Non"/>
    <n v="1.0901000000000001"/>
    <n v="13.692475968623729"/>
    <n v="0"/>
    <s v="--"/>
    <s v="Perdant"/>
    <n v="0"/>
    <n v="1"/>
    <m/>
    <s v=""/>
    <m/>
    <m/>
    <m/>
    <m/>
    <m/>
  </r>
  <r>
    <x v="79"/>
    <n v="259755997"/>
    <s v="UsaInd"/>
    <s v="buy"/>
    <n v="0.5"/>
    <n v="29369.47"/>
    <n v="29359.47"/>
    <n v="29419.47"/>
    <d v="2020-02-11T15:34:02"/>
    <n v="29358.49"/>
    <n v="0"/>
    <n v="0"/>
    <n v="-5.03"/>
    <n v="80"/>
    <n v="-26.239999999999974"/>
    <n v="973.76"/>
    <x v="6"/>
    <n v="7"/>
    <d v="1900-01-02T00:00:00"/>
    <n v="15"/>
    <n v="0"/>
    <s v=""/>
    <n v="10"/>
    <n v="50"/>
    <n v="5"/>
    <n v="-1.1000000000000001"/>
    <n v="978.79"/>
    <n v="973.76"/>
    <d v="2020-02-11T15:31:39"/>
    <n v="984.33"/>
    <n v="0"/>
    <d v="2020-02-11T21:10:14"/>
    <n v="921.11"/>
    <n v="0"/>
    <e v="#N/A"/>
    <n v="-5.138998150777974E-3"/>
    <s v=""/>
    <n v="1052.8399999999999"/>
    <n v="973.76"/>
    <n v="-7.5111127996656646E-2"/>
    <n v="-11"/>
    <s v=""/>
    <n v="-11"/>
    <n v="-57.099999999999987"/>
    <n v="0"/>
    <n v="1"/>
    <s v="Non conforme"/>
    <m/>
    <m/>
    <n v="0"/>
    <n v="0"/>
    <n v="0"/>
    <s v="Non"/>
    <s v="Non"/>
    <s v="Non"/>
    <n v="1.0901000000000001"/>
    <n v="13.762909381553992"/>
    <n v="0"/>
    <s v="--"/>
    <s v="Perdant"/>
    <n v="0"/>
    <n v="1"/>
    <m/>
    <n v="29419.47"/>
    <m/>
    <m/>
    <m/>
    <m/>
    <m/>
  </r>
  <r>
    <x v="80"/>
    <n v="259756261"/>
    <s v="UsaInd"/>
    <s v="buy"/>
    <n v="0.5"/>
    <n v="29362.61"/>
    <n v="29352.61"/>
    <m/>
    <d v="2020-02-11T15:34:31"/>
    <n v="29352.42"/>
    <n v="0"/>
    <n v="0"/>
    <n v="-4.67"/>
    <n v="81"/>
    <n v="-30.909999999999975"/>
    <n v="969.09"/>
    <x v="6"/>
    <n v="7"/>
    <d v="1900-01-02T00:00:00"/>
    <n v="15"/>
    <n v="0"/>
    <s v=""/>
    <n v="10"/>
    <n v="200"/>
    <n v="20"/>
    <n v="-1"/>
    <n v="973.76"/>
    <n v="969.09"/>
    <d v="2020-02-11T15:31:39"/>
    <n v="984.33"/>
    <n v="0"/>
    <d v="2020-02-11T21:10:14"/>
    <n v="921.11"/>
    <n v="0"/>
    <e v="#N/A"/>
    <n v="-4.7958429181728136E-3"/>
    <s v=""/>
    <n v="1052.8399999999999"/>
    <n v="969.09"/>
    <n v="-7.9546749743550693E-2"/>
    <n v="-10.199999999999999"/>
    <s v=""/>
    <n v="-10.199999999999999"/>
    <n v="-67.299999999999983"/>
    <n v="0"/>
    <n v="1"/>
    <s v="Non conforme"/>
    <m/>
    <m/>
    <n v="0"/>
    <n v="0"/>
    <n v="0"/>
    <s v="Non"/>
    <s v="Non"/>
    <s v="Non"/>
    <n v="1.0901000000000001"/>
    <n v="13.830771004405769"/>
    <n v="0"/>
    <s v="--"/>
    <s v="Perdant"/>
    <n v="0"/>
    <n v="1"/>
    <m/>
    <s v=""/>
    <m/>
    <m/>
    <m/>
    <m/>
    <m/>
  </r>
  <r>
    <x v="81"/>
    <n v="259756438"/>
    <s v="UsaInd"/>
    <s v="buy"/>
    <n v="0.5"/>
    <n v="29346.63"/>
    <n v="29336.63"/>
    <m/>
    <d v="2020-02-11T15:36:02"/>
    <n v="29336.53"/>
    <n v="0"/>
    <n v="0"/>
    <n v="-4.63"/>
    <n v="82"/>
    <n v="-35.539999999999978"/>
    <n v="964.46"/>
    <x v="6"/>
    <n v="7"/>
    <d v="1900-01-02T00:00:00"/>
    <n v="15"/>
    <n v="0"/>
    <s v=""/>
    <n v="10"/>
    <n v="200"/>
    <n v="20"/>
    <n v="-1"/>
    <n v="969.09"/>
    <n v="964.46"/>
    <d v="2020-02-11T15:31:39"/>
    <n v="984.33"/>
    <n v="0"/>
    <d v="2020-02-11T21:10:14"/>
    <n v="921.11"/>
    <n v="0"/>
    <e v="#N/A"/>
    <n v="-4.7776780278405463E-3"/>
    <s v=""/>
    <n v="1052.8399999999999"/>
    <n v="964.46"/>
    <n v="-8.3944379012955372E-2"/>
    <n v="-10.1"/>
    <s v=""/>
    <n v="-10.1"/>
    <n v="-77.399999999999977"/>
    <n v="0"/>
    <n v="1"/>
    <s v="Non conforme"/>
    <m/>
    <m/>
    <n v="0"/>
    <n v="0"/>
    <n v="0"/>
    <s v="Non"/>
    <s v="Non"/>
    <s v="Non"/>
    <n v="1.0901000000000001"/>
    <n v="13.889857464695153"/>
    <n v="0"/>
    <s v="--"/>
    <s v="Perdant"/>
    <n v="0"/>
    <n v="1"/>
    <m/>
    <s v=""/>
    <m/>
    <m/>
    <m/>
    <m/>
    <m/>
  </r>
  <r>
    <x v="82"/>
    <n v="259756754"/>
    <s v="UsaInd"/>
    <s v="buy"/>
    <n v="0.5"/>
    <n v="29334.58"/>
    <n v="29324.560000000001"/>
    <m/>
    <d v="2020-02-11T15:37:18"/>
    <n v="29324.41"/>
    <n v="0"/>
    <n v="0"/>
    <n v="-4.66"/>
    <n v="83"/>
    <n v="-40.199999999999974"/>
    <n v="959.80000000000007"/>
    <x v="6"/>
    <n v="7"/>
    <d v="1900-01-02T00:00:00"/>
    <n v="15"/>
    <n v="0"/>
    <s v=""/>
    <n v="10"/>
    <n v="200"/>
    <n v="20"/>
    <n v="-1"/>
    <n v="964.46"/>
    <n v="959.80000000000007"/>
    <d v="2020-02-11T15:31:39"/>
    <n v="984.33"/>
    <n v="0"/>
    <d v="2020-02-11T21:10:14"/>
    <n v="921.11"/>
    <n v="0"/>
    <e v="#N/A"/>
    <n v="-4.8317193040664907E-3"/>
    <s v=""/>
    <n v="1052.8399999999999"/>
    <n v="959.80000000000007"/>
    <n v="-8.8370502640477078E-2"/>
    <n v="-10.199999999999999"/>
    <s v=""/>
    <n v="-10.199999999999999"/>
    <n v="-87.59999999999998"/>
    <n v="0"/>
    <n v="1"/>
    <s v="Non conforme"/>
    <m/>
    <m/>
    <n v="0"/>
    <n v="0"/>
    <n v="0"/>
    <s v="Non"/>
    <s v="Non"/>
    <s v="Non"/>
    <n v="1.0901000000000001"/>
    <n v="13.950806621934888"/>
    <n v="0"/>
    <s v="--"/>
    <s v="Perdant"/>
    <n v="0"/>
    <n v="1"/>
    <m/>
    <s v=""/>
    <m/>
    <m/>
    <m/>
    <m/>
    <m/>
  </r>
  <r>
    <x v="83"/>
    <n v="259755855"/>
    <s v="UsaInd"/>
    <s v="buy"/>
    <n v="0.5"/>
    <n v="29317.34"/>
    <n v="29307.34"/>
    <n v="29517.34"/>
    <d v="2020-02-11T17:31:08"/>
    <n v="29306.68"/>
    <n v="0"/>
    <n v="0"/>
    <n v="-4.88"/>
    <n v="84"/>
    <n v="-45.079999999999977"/>
    <n v="954.92000000000007"/>
    <x v="6"/>
    <n v="7"/>
    <d v="1900-01-02T00:00:00"/>
    <n v="17"/>
    <n v="0"/>
    <s v=""/>
    <n v="10"/>
    <n v="200"/>
    <n v="20"/>
    <n v="-1.1000000000000001"/>
    <n v="959.80000000000007"/>
    <n v="954.92000000000007"/>
    <d v="2020-02-11T15:31:39"/>
    <n v="984.33"/>
    <n v="0"/>
    <d v="2020-02-11T21:10:14"/>
    <n v="921.11"/>
    <n v="0"/>
    <e v="#N/A"/>
    <n v="-5.0843925817878671E-3"/>
    <s v=""/>
    <n v="1052.8399999999999"/>
    <n v="954.92000000000007"/>
    <n v="-9.3005584894190862E-2"/>
    <n v="-10.7"/>
    <s v=""/>
    <n v="-10.7"/>
    <n v="-98.299999999999983"/>
    <n v="0"/>
    <n v="1"/>
    <s v="Non conforme"/>
    <m/>
    <m/>
    <n v="0"/>
    <n v="0"/>
    <n v="0"/>
    <s v="Non"/>
    <s v="Non"/>
    <s v="Non"/>
    <n v="1.0901000000000001"/>
    <n v="14.010301545292963"/>
    <n v="0"/>
    <s v="--"/>
    <s v="Perdant"/>
    <n v="0"/>
    <n v="1"/>
    <m/>
    <n v="29517.34"/>
    <m/>
    <m/>
    <m/>
    <m/>
    <m/>
  </r>
  <r>
    <x v="84"/>
    <n v="259771742"/>
    <s v="UsaInd"/>
    <s v="buy"/>
    <n v="0.5"/>
    <n v="29286.75"/>
    <n v="29275.759999999998"/>
    <m/>
    <d v="2020-02-11T17:36:01"/>
    <n v="29275.47"/>
    <n v="0"/>
    <n v="0"/>
    <n v="-5.17"/>
    <n v="85"/>
    <n v="-50.249999999999979"/>
    <n v="949.75"/>
    <x v="6"/>
    <n v="7"/>
    <d v="1900-01-02T00:00:00"/>
    <n v="17"/>
    <n v="0"/>
    <s v=""/>
    <n v="11"/>
    <n v="200"/>
    <n v="18.2"/>
    <n v="-1.1000000000000001"/>
    <n v="954.92"/>
    <n v="949.75"/>
    <d v="2020-02-11T15:31:39"/>
    <n v="984.33"/>
    <n v="0"/>
    <d v="2020-02-11T21:10:14"/>
    <n v="921.11"/>
    <n v="0"/>
    <e v="#N/A"/>
    <n v="-5.4140660997779493E-3"/>
    <s v=""/>
    <n v="1052.8399999999999"/>
    <n v="949.75"/>
    <n v="-9.7916112609703232E-2"/>
    <n v="-11.3"/>
    <s v=""/>
    <n v="-11.3"/>
    <n v="-109.59999999999998"/>
    <n v="0"/>
    <n v="1"/>
    <s v="Non conforme"/>
    <m/>
    <m/>
    <n v="0"/>
    <n v="0"/>
    <n v="0"/>
    <s v="Non"/>
    <s v="Non"/>
    <s v="Non"/>
    <n v="1.0901000000000001"/>
    <n v="14.067206258442484"/>
    <n v="0"/>
    <s v="--"/>
    <s v="Perdant"/>
    <n v="0"/>
    <n v="1"/>
    <m/>
    <s v=""/>
    <m/>
    <m/>
    <m/>
    <m/>
    <m/>
  </r>
  <r>
    <x v="85"/>
    <n v="259772002"/>
    <s v="UsaInd"/>
    <s v="buy"/>
    <n v="0.5"/>
    <n v="29274.49"/>
    <n v="29264.49"/>
    <m/>
    <d v="2020-02-11T17:37:19"/>
    <n v="29263.55"/>
    <n v="0"/>
    <n v="0"/>
    <n v="-5.01"/>
    <n v="86"/>
    <n v="-55.259999999999977"/>
    <n v="944.74"/>
    <x v="6"/>
    <n v="7"/>
    <d v="1900-01-02T00:00:00"/>
    <n v="17"/>
    <n v="0"/>
    <s v=""/>
    <n v="10"/>
    <n v="200"/>
    <n v="20"/>
    <n v="-1.1000000000000001"/>
    <n v="949.75"/>
    <n v="944.74"/>
    <d v="2020-02-11T15:31:39"/>
    <n v="984.33"/>
    <n v="0"/>
    <d v="2020-02-11T21:10:14"/>
    <n v="921.11"/>
    <n v="0"/>
    <e v="#N/A"/>
    <n v="-5.2750723874703774E-3"/>
    <s v=""/>
    <n v="1052.8399999999999"/>
    <n v="944.74"/>
    <n v="-0.10267467041525769"/>
    <n v="-10.9"/>
    <s v=""/>
    <n v="-10.9"/>
    <n v="-120.49999999999999"/>
    <n v="0"/>
    <n v="1"/>
    <s v="Non conforme"/>
    <m/>
    <m/>
    <n v="0"/>
    <n v="0"/>
    <n v="0"/>
    <s v="Non"/>
    <s v="Non"/>
    <s v="Non"/>
    <n v="1.0901000000000001"/>
    <n v="14.137860766521078"/>
    <n v="0"/>
    <s v="--"/>
    <s v="Perdant"/>
    <n v="0"/>
    <n v="1"/>
    <m/>
    <s v=""/>
    <m/>
    <m/>
    <m/>
    <m/>
    <m/>
  </r>
  <r>
    <x v="86"/>
    <n v="259772188"/>
    <s v="UsaInd"/>
    <s v="buy"/>
    <n v="0.5"/>
    <n v="29269.77"/>
    <n v="29271.27"/>
    <n v="29529.77"/>
    <d v="2020-02-11T20:21:39"/>
    <n v="29270.99"/>
    <n v="0"/>
    <n v="0"/>
    <n v="0.56000000000000005"/>
    <n v="87"/>
    <n v="-54.699999999999974"/>
    <n v="945.30000000000007"/>
    <x v="6"/>
    <n v="7"/>
    <d v="1900-01-02T00:00:00"/>
    <n v="20"/>
    <n v="0"/>
    <s v=""/>
    <n v="-1.5"/>
    <n v="260"/>
    <n v="26"/>
    <n v="0.1"/>
    <n v="944.74000000000012"/>
    <n v="945.30000000000007"/>
    <d v="2020-02-11T15:31:39"/>
    <n v="984.33"/>
    <n v="0"/>
    <d v="2020-02-11T21:10:14"/>
    <n v="921.11"/>
    <n v="0"/>
    <e v="#N/A"/>
    <n v="5.9275567881104366E-4"/>
    <s v=""/>
    <n v="1052.8399999999999"/>
    <n v="945.30000000000007"/>
    <n v="-0.1021427757304052"/>
    <n v="1.2"/>
    <n v="1.2"/>
    <s v=""/>
    <n v="-119.29999999999998"/>
    <n v="0"/>
    <n v="1"/>
    <s v="Non conforme"/>
    <m/>
    <m/>
    <n v="0"/>
    <n v="0"/>
    <n v="0"/>
    <s v="Non"/>
    <s v="Oui"/>
    <s v="Non"/>
    <n v="1.0901000000000001"/>
    <n v="14.210542926103447"/>
    <n v="0"/>
    <s v="0"/>
    <s v="Gagnant"/>
    <n v="1"/>
    <n v="0"/>
    <m/>
    <n v="29529.77"/>
    <m/>
    <m/>
    <m/>
    <m/>
    <m/>
  </r>
  <r>
    <x v="87"/>
    <n v="259780592"/>
    <s v="UsaInd"/>
    <s v="buy"/>
    <n v="0.5"/>
    <n v="29268.81"/>
    <n v="29258.81"/>
    <m/>
    <d v="2020-02-11T20:24:03"/>
    <n v="29257.75"/>
    <n v="0"/>
    <n v="0"/>
    <n v="-5.0599999999999996"/>
    <n v="88"/>
    <n v="-59.759999999999977"/>
    <n v="940.24"/>
    <x v="6"/>
    <n v="7"/>
    <d v="1900-01-02T00:00:00"/>
    <n v="20"/>
    <n v="0"/>
    <s v=""/>
    <n v="10"/>
    <n v="200"/>
    <n v="20"/>
    <n v="-1.1000000000000001"/>
    <n v="945.3"/>
    <n v="940.24"/>
    <d v="2020-02-11T15:31:39"/>
    <n v="984.33"/>
    <n v="0"/>
    <d v="2020-02-11T21:10:14"/>
    <n v="921.11"/>
    <n v="0"/>
    <e v="#N/A"/>
    <n v="-5.3527980535279232E-3"/>
    <s v=""/>
    <n v="1052.8399999999999"/>
    <n v="940.24"/>
    <n v="-0.10694882413282158"/>
    <n v="-11.1"/>
    <s v=""/>
    <n v="-11.1"/>
    <n v="-130.39999999999998"/>
    <n v="0"/>
    <n v="1"/>
    <s v="Non conforme"/>
    <m/>
    <m/>
    <n v="0"/>
    <n v="0"/>
    <n v="0"/>
    <s v="Non"/>
    <s v="Non"/>
    <s v="Non"/>
    <n v="1.0901000000000001"/>
    <n v="14.201658729960254"/>
    <n v="0"/>
    <s v="--"/>
    <s v="Perdant"/>
    <n v="0"/>
    <n v="1"/>
    <m/>
    <s v=""/>
    <m/>
    <m/>
    <m/>
    <m/>
    <m/>
  </r>
  <r>
    <x v="88"/>
    <n v="259780787"/>
    <s v="UsaInd"/>
    <s v="buy"/>
    <n v="0.5"/>
    <n v="29270.94"/>
    <n v="29260.94"/>
    <n v="29530.94"/>
    <d v="2020-02-11T21:02:48"/>
    <n v="29259.79"/>
    <n v="0"/>
    <n v="0"/>
    <n v="-5.1100000000000003"/>
    <n v="89"/>
    <n v="-64.869999999999976"/>
    <n v="935.13"/>
    <x v="6"/>
    <n v="7"/>
    <d v="1900-01-02T00:00:00"/>
    <n v="21"/>
    <n v="0"/>
    <s v=""/>
    <n v="10"/>
    <n v="260"/>
    <n v="26"/>
    <n v="-1.1000000000000001"/>
    <n v="940.24"/>
    <n v="935.13"/>
    <d v="2020-02-11T15:31:39"/>
    <n v="984.33"/>
    <n v="0"/>
    <d v="2020-02-11T21:10:14"/>
    <n v="921.11"/>
    <n v="0"/>
    <e v="#N/A"/>
    <n v="-5.4347826086956668E-3"/>
    <s v=""/>
    <n v="1052.8399999999999"/>
    <n v="935.13"/>
    <n v="-0.11180236313209979"/>
    <n v="-11.1"/>
    <s v=""/>
    <n v="-11.1"/>
    <n v="-141.49999999999997"/>
    <n v="0"/>
    <n v="1"/>
    <s v="Non conforme"/>
    <m/>
    <m/>
    <n v="0"/>
    <n v="0"/>
    <n v="0"/>
    <s v="Non"/>
    <s v="Non"/>
    <s v="Non"/>
    <n v="1.0901000000000001"/>
    <n v="14.279125512657314"/>
    <n v="0"/>
    <s v="--"/>
    <s v="Perdant"/>
    <n v="0"/>
    <n v="1"/>
    <m/>
    <n v="29530.94"/>
    <m/>
    <m/>
    <m/>
    <m/>
    <m/>
  </r>
  <r>
    <x v="89"/>
    <n v="259782778"/>
    <s v="UsaInd"/>
    <s v="buy"/>
    <n v="0.5"/>
    <n v="29263.69"/>
    <n v="29253.69"/>
    <m/>
    <d v="2020-02-11T21:09:00"/>
    <n v="29253.69"/>
    <n v="0"/>
    <n v="0"/>
    <n v="-4.58"/>
    <n v="90"/>
    <n v="-69.449999999999974"/>
    <n v="930.55000000000007"/>
    <x v="6"/>
    <n v="7"/>
    <d v="1900-01-02T00:00:00"/>
    <n v="21"/>
    <n v="0"/>
    <s v=""/>
    <n v="10"/>
    <n v="200"/>
    <n v="20"/>
    <n v="-1"/>
    <n v="935.13000000000011"/>
    <n v="930.55000000000007"/>
    <d v="2020-02-11T15:31:39"/>
    <n v="984.33"/>
    <n v="0"/>
    <d v="2020-02-11T21:10:14"/>
    <n v="921.11"/>
    <n v="0"/>
    <e v="#N/A"/>
    <n v="-4.8977147562371441E-3"/>
    <s v=""/>
    <n v="1052.8399999999999"/>
    <n v="930.55000000000007"/>
    <n v="-0.11615250180464254"/>
    <n v="-10"/>
    <s v=""/>
    <n v="-10"/>
    <n v="-151.49999999999997"/>
    <n v="0"/>
    <n v="1"/>
    <s v="Non conforme"/>
    <m/>
    <m/>
    <n v="0"/>
    <n v="0"/>
    <n v="0"/>
    <s v="Non"/>
    <s v="Non"/>
    <s v="Non"/>
    <n v="1.0901000000000001"/>
    <n v="14.353597455999195"/>
    <n v="0"/>
    <s v="--"/>
    <s v="Perdant"/>
    <n v="0"/>
    <n v="1"/>
    <m/>
    <s v=""/>
    <m/>
    <m/>
    <m/>
    <m/>
    <m/>
  </r>
  <r>
    <x v="90"/>
    <n v="259782944"/>
    <s v="UsaInd"/>
    <s v="buy"/>
    <n v="0.5"/>
    <n v="29255.06"/>
    <n v="29245.06"/>
    <m/>
    <d v="2020-02-11T21:09:52"/>
    <n v="29244.71"/>
    <n v="0"/>
    <n v="0"/>
    <n v="-4.74"/>
    <n v="91"/>
    <n v="-74.189999999999969"/>
    <n v="925.81000000000006"/>
    <x v="6"/>
    <n v="7"/>
    <d v="1900-01-02T00:00:00"/>
    <n v="21"/>
    <n v="0"/>
    <s v=""/>
    <n v="10"/>
    <n v="200"/>
    <n v="20"/>
    <n v="-1"/>
    <n v="930.55000000000007"/>
    <n v="925.81000000000006"/>
    <d v="2020-02-11T15:31:39"/>
    <n v="984.33"/>
    <n v="0"/>
    <d v="2020-02-11T21:10:14"/>
    <n v="921.11"/>
    <n v="0"/>
    <e v="#N/A"/>
    <n v="-5.0937617538015243E-3"/>
    <s v=""/>
    <n v="1052.8399999999999"/>
    <n v="925.81000000000006"/>
    <n v="-0.1206546103871432"/>
    <n v="-10.4"/>
    <s v=""/>
    <n v="-10.4"/>
    <n v="-161.89999999999998"/>
    <n v="0"/>
    <n v="1"/>
    <s v="Non conforme"/>
    <m/>
    <m/>
    <n v="0"/>
    <n v="0"/>
    <n v="0"/>
    <s v="Non"/>
    <s v="Non"/>
    <s v="Non"/>
    <n v="1.0901000000000001"/>
    <n v="14.41998950790801"/>
    <n v="0"/>
    <s v="--"/>
    <s v="Perdant"/>
    <n v="0"/>
    <n v="1"/>
    <m/>
    <s v=""/>
    <m/>
    <m/>
    <m/>
    <m/>
    <m/>
  </r>
  <r>
    <x v="91"/>
    <n v="259783008"/>
    <s v="UsaInd"/>
    <s v="buy"/>
    <n v="0.5"/>
    <n v="29251.03"/>
    <n v="29241.03"/>
    <n v="29551.03"/>
    <d v="2020-02-11T21:11:18"/>
    <n v="29240.78"/>
    <n v="0"/>
    <n v="0"/>
    <n v="-4.7"/>
    <n v="92"/>
    <n v="-78.889999999999972"/>
    <n v="921.11"/>
    <x v="6"/>
    <n v="7"/>
    <d v="1900-01-02T00:00:00"/>
    <n v="21"/>
    <n v="0"/>
    <s v=""/>
    <n v="10"/>
    <n v="300"/>
    <n v="30"/>
    <n v="-1"/>
    <n v="925.81000000000006"/>
    <n v="921.11"/>
    <d v="2020-02-11T15:31:39"/>
    <n v="984.33"/>
    <n v="0"/>
    <d v="2020-02-11T21:10:14"/>
    <n v="921.11"/>
    <n v="921.11"/>
    <n v="921.11"/>
    <n v="-5.0766355947765148E-3"/>
    <s v=""/>
    <n v="1052.8399999999999"/>
    <n v="921.11"/>
    <n v="-0.1251187264921545"/>
    <n v="-10.3"/>
    <s v=""/>
    <n v="-10.3"/>
    <n v="-172.2"/>
    <n v="0"/>
    <n v="1"/>
    <s v="Non conforme"/>
    <m/>
    <m/>
    <n v="0"/>
    <n v="0"/>
    <n v="0"/>
    <s v="Non"/>
    <s v="Non"/>
    <s v="Non"/>
    <n v="1.0901000000000001"/>
    <n v="14.491820980885437"/>
    <n v="0"/>
    <s v="--"/>
    <s v="Perdant"/>
    <n v="0"/>
    <n v="1"/>
    <m/>
    <n v="29551.03"/>
    <m/>
    <m/>
    <m/>
    <m/>
    <m/>
  </r>
  <r>
    <x v="92"/>
    <n v="259810614"/>
    <s v="UsaInd"/>
    <s v="buy"/>
    <n v="0.5"/>
    <n v="29391.97"/>
    <n v="29381.97"/>
    <n v="29531.97"/>
    <d v="2020-02-12T11:35:32"/>
    <n v="29381.75"/>
    <n v="0"/>
    <n v="0"/>
    <n v="-4.68"/>
    <n v="93"/>
    <n v="-83.569999999999965"/>
    <n v="916.43000000000006"/>
    <x v="7"/>
    <n v="7"/>
    <d v="1900-01-03T00:00:00"/>
    <n v="11"/>
    <n v="1"/>
    <n v="6"/>
    <n v="10"/>
    <n v="140"/>
    <n v="14"/>
    <n v="-1"/>
    <n v="921.11"/>
    <n v="916.43000000000006"/>
    <d v="2020-02-12T11:29:10"/>
    <n v="921.11"/>
    <n v="921.11"/>
    <d v="2020-02-12T16:31:44"/>
    <n v="920.68000000000006"/>
    <n v="0"/>
    <e v="#N/A"/>
    <n v="-5.0808263942416759E-3"/>
    <n v="-4.6682806613754056E-4"/>
    <n v="1052.8399999999999"/>
    <n v="916.43000000000006"/>
    <n v="-0.12956384635842089"/>
    <n v="-10.199999999999999"/>
    <s v=""/>
    <n v="-10.199999999999999"/>
    <n v="-182.39999999999998"/>
    <n v="0"/>
    <n v="1"/>
    <s v="Non conforme"/>
    <m/>
    <m/>
    <n v="0"/>
    <n v="0"/>
    <n v="0"/>
    <s v="Non"/>
    <s v="Non"/>
    <s v="Non"/>
    <n v="1.0913999999999999"/>
    <n v="14.618514852988273"/>
    <n v="0"/>
    <s v="--"/>
    <s v="Perdant"/>
    <n v="0"/>
    <n v="1"/>
    <m/>
    <n v="29531.97"/>
    <m/>
    <m/>
    <m/>
    <m/>
    <m/>
  </r>
  <r>
    <x v="93"/>
    <n v="259810788"/>
    <s v="UsaInd"/>
    <s v="buy"/>
    <n v="0.5"/>
    <n v="29383.91"/>
    <n v="29385.41"/>
    <n v="29524.11"/>
    <d v="2020-02-12T14:59:28"/>
    <n v="29424.03"/>
    <n v="0"/>
    <n v="0"/>
    <n v="18.39"/>
    <n v="94"/>
    <n v="-65.179999999999964"/>
    <n v="934.82"/>
    <x v="7"/>
    <n v="7"/>
    <d v="1900-01-03T00:00:00"/>
    <n v="14"/>
    <n v="0"/>
    <s v=""/>
    <n v="-1.5"/>
    <n v="140.19999999999999"/>
    <n v="14"/>
    <n v="4"/>
    <n v="916.43000000000006"/>
    <n v="934.82"/>
    <d v="2020-02-12T11:29:10"/>
    <n v="921.11"/>
    <n v="0"/>
    <d v="2020-02-12T16:31:44"/>
    <n v="920.68000000000006"/>
    <n v="0"/>
    <e v="#N/A"/>
    <n v="2.0066999116135423E-2"/>
    <s v=""/>
    <n v="1052.8399999999999"/>
    <n v="934.82"/>
    <n v="-0.11209680483264306"/>
    <n v="40.1"/>
    <n v="40.1"/>
    <s v=""/>
    <n v="-142.29999999999998"/>
    <n v="0"/>
    <n v="1"/>
    <s v="Non conforme"/>
    <m/>
    <m/>
    <n v="0"/>
    <n v="0"/>
    <n v="0"/>
    <s v="Non"/>
    <s v="Oui"/>
    <s v="Non"/>
    <n v="1.0913999999999999"/>
    <n v="14.68913906266341"/>
    <n v="0"/>
    <s v="+"/>
    <s v="Gagnant"/>
    <n v="1"/>
    <n v="0"/>
    <m/>
    <n v="29524.11"/>
    <m/>
    <m/>
    <m/>
    <m/>
    <m/>
  </r>
  <r>
    <x v="94"/>
    <n v="259830163"/>
    <s v="UsaInd"/>
    <s v="sell"/>
    <n v="0.5"/>
    <n v="29484.06"/>
    <n v="29495.07"/>
    <m/>
    <d v="2020-02-12T16:23:35"/>
    <n v="29495.13"/>
    <n v="0"/>
    <n v="0"/>
    <n v="-5.09"/>
    <n v="95"/>
    <n v="-70.269999999999968"/>
    <n v="929.73"/>
    <x v="7"/>
    <n v="7"/>
    <d v="1900-01-03T00:00:00"/>
    <n v="16"/>
    <n v="0"/>
    <s v=""/>
    <n v="11"/>
    <n v="200"/>
    <n v="18.2"/>
    <n v="-1.1000000000000001"/>
    <n v="934.82"/>
    <n v="929.73"/>
    <d v="2020-02-12T11:29:10"/>
    <n v="921.11"/>
    <n v="0"/>
    <d v="2020-02-12T16:31:44"/>
    <n v="920.68000000000006"/>
    <n v="0"/>
    <e v="#N/A"/>
    <n v="-5.4448984831304758E-3"/>
    <s v=""/>
    <n v="1052.8399999999999"/>
    <n v="929.73"/>
    <n v="-0.11693134759317647"/>
    <n v="-11.1"/>
    <s v=""/>
    <n v="-11.1"/>
    <n v="-153.39999999999998"/>
    <n v="0"/>
    <n v="1"/>
    <s v="Non conforme"/>
    <m/>
    <m/>
    <n v="0"/>
    <n v="0"/>
    <n v="0"/>
    <s v="Non"/>
    <s v="Non"/>
    <s v="Non"/>
    <n v="1.0913999999999999"/>
    <n v="14.449251350937564"/>
    <n v="0"/>
    <s v="--"/>
    <s v="Perdant"/>
    <n v="0"/>
    <n v="1"/>
    <m/>
    <s v=""/>
    <m/>
    <m/>
    <m/>
    <m/>
    <m/>
  </r>
  <r>
    <x v="95"/>
    <n v="259830299"/>
    <s v="UsaInd"/>
    <s v="sell"/>
    <n v="0.5"/>
    <n v="29492.97"/>
    <n v="29503.25"/>
    <m/>
    <d v="2020-02-12T16:24:02"/>
    <n v="29503.34"/>
    <n v="0"/>
    <n v="0"/>
    <n v="-4.7699999999999996"/>
    <n v="96"/>
    <n v="-75.039999999999964"/>
    <n v="924.96"/>
    <x v="7"/>
    <n v="7"/>
    <d v="1900-01-03T00:00:00"/>
    <n v="16"/>
    <n v="0"/>
    <s v=""/>
    <n v="10.3"/>
    <n v="200"/>
    <n v="19.399999999999999"/>
    <n v="-1"/>
    <n v="929.73"/>
    <n v="924.96"/>
    <d v="2020-02-12T11:29:10"/>
    <n v="921.11"/>
    <n v="0"/>
    <d v="2020-02-12T16:31:44"/>
    <n v="920.68000000000006"/>
    <n v="0"/>
    <e v="#N/A"/>
    <n v="-5.1305217643831886E-3"/>
    <s v=""/>
    <n v="1052.8399999999999"/>
    <n v="924.96"/>
    <n v="-0.12146195053379416"/>
    <n v="-10.4"/>
    <s v=""/>
    <n v="-10.4"/>
    <n v="-163.79999999999998"/>
    <n v="0"/>
    <n v="1"/>
    <s v="Non conforme"/>
    <m/>
    <m/>
    <n v="0"/>
    <n v="0"/>
    <n v="0"/>
    <s v="Non"/>
    <s v="Non"/>
    <s v="Non"/>
    <n v="1.0913999999999999"/>
    <n v="14.532747207277962"/>
    <n v="0"/>
    <s v="--"/>
    <s v="Perdant"/>
    <n v="0"/>
    <n v="1"/>
    <m/>
    <s v=""/>
    <m/>
    <m/>
    <m/>
    <m/>
    <m/>
  </r>
  <r>
    <x v="96"/>
    <n v="259830377"/>
    <s v="UsaInd"/>
    <s v="sell"/>
    <n v="0.5"/>
    <n v="29501.01"/>
    <n v="29511.01"/>
    <n v="29401.01"/>
    <d v="2020-02-12T16:31:27"/>
    <n v="29511.07"/>
    <n v="0"/>
    <n v="0"/>
    <n v="-4.62"/>
    <n v="97"/>
    <n v="-79.659999999999968"/>
    <n v="920.34"/>
    <x v="7"/>
    <n v="7"/>
    <d v="1900-01-03T00:00:00"/>
    <n v="16"/>
    <n v="0"/>
    <s v=""/>
    <n v="10"/>
    <n v="100"/>
    <n v="10"/>
    <n v="-1"/>
    <n v="924.96"/>
    <n v="920.34"/>
    <d v="2020-02-12T11:29:10"/>
    <n v="921.11"/>
    <n v="0"/>
    <d v="2020-02-12T16:31:44"/>
    <n v="920.68000000000006"/>
    <n v="0"/>
    <e v="#N/A"/>
    <n v="-4.9948105864037412E-3"/>
    <s v=""/>
    <n v="1052.8399999999999"/>
    <n v="920.34"/>
    <n v="-0.1258500816838265"/>
    <n v="-10.1"/>
    <s v=""/>
    <n v="-10.1"/>
    <n v="-173.89999999999998"/>
    <n v="0"/>
    <n v="1"/>
    <s v="Non conforme"/>
    <m/>
    <m/>
    <n v="0"/>
    <n v="0"/>
    <n v="0"/>
    <s v="Non"/>
    <s v="Non"/>
    <s v="Non"/>
    <n v="1.0913999999999999"/>
    <n v="14.611674454590919"/>
    <n v="0"/>
    <s v="--"/>
    <s v="Perdant"/>
    <n v="0"/>
    <n v="1"/>
    <m/>
    <n v="29401.01"/>
    <m/>
    <m/>
    <m/>
    <m/>
    <m/>
  </r>
  <r>
    <x v="97"/>
    <n v="259831354"/>
    <s v="UsaInd"/>
    <s v="sell"/>
    <n v="0.5"/>
    <n v="29505.97"/>
    <n v="29504.47"/>
    <n v="29405.97"/>
    <d v="2020-02-12T18:32:40"/>
    <n v="29505.24"/>
    <n v="0"/>
    <n v="0"/>
    <n v="0.34"/>
    <n v="98"/>
    <n v="-79.319999999999965"/>
    <n v="920.68000000000006"/>
    <x v="7"/>
    <n v="7"/>
    <d v="1900-01-03T00:00:00"/>
    <n v="18"/>
    <n v="0"/>
    <s v=""/>
    <n v="-1.5"/>
    <n v="100"/>
    <n v="10"/>
    <n v="0.1"/>
    <n v="920.34"/>
    <n v="920.68000000000006"/>
    <d v="2020-02-12T11:29:10"/>
    <n v="921.11"/>
    <n v="0"/>
    <d v="2020-02-12T16:31:44"/>
    <n v="920.68000000000006"/>
    <n v="920.68000000000006"/>
    <n v="920.68000000000006"/>
    <n v="3.6942868939743116E-4"/>
    <s v=""/>
    <n v="1052.8399999999999"/>
    <n v="920.68000000000006"/>
    <n v="-0.12552714562516609"/>
    <n v="0.7"/>
    <n v="0.7"/>
    <s v=""/>
    <n v="-173.2"/>
    <n v="0"/>
    <n v="1"/>
    <s v="Non conforme"/>
    <m/>
    <m/>
    <n v="0"/>
    <n v="0"/>
    <n v="0"/>
    <s v="Non"/>
    <s v="Oui"/>
    <s v="Non"/>
    <n v="1.0913999999999999"/>
    <n v="14.687492355338129"/>
    <n v="0"/>
    <s v="0"/>
    <s v="Gagnant"/>
    <n v="1"/>
    <n v="0"/>
    <m/>
    <n v="29405.97"/>
    <m/>
    <m/>
    <m/>
    <m/>
    <m/>
  </r>
  <r>
    <x v="98"/>
    <n v="259907380"/>
    <s v="UsaInd"/>
    <s v="sell"/>
    <n v="0.5"/>
    <n v="29440.560000000001"/>
    <n v="29439.06"/>
    <n v="29275.56"/>
    <d v="2020-02-13T15:45:14"/>
    <n v="29439.9"/>
    <n v="0"/>
    <n v="0"/>
    <n v="0.3"/>
    <n v="99"/>
    <n v="-79.019999999999968"/>
    <n v="920.98"/>
    <x v="8"/>
    <n v="7"/>
    <d v="1900-01-04T00:00:00"/>
    <n v="15"/>
    <n v="1"/>
    <n v="19"/>
    <n v="-1.5"/>
    <n v="165"/>
    <n v="16.5"/>
    <n v="0.1"/>
    <n v="920.68000000000006"/>
    <n v="920.98"/>
    <d v="2020-02-13T15:37:15"/>
    <n v="920.68000000000006"/>
    <n v="920.68000000000006"/>
    <d v="2020-02-13T18:18:48"/>
    <n v="867.85"/>
    <n v="0"/>
    <e v="#N/A"/>
    <n v="3.2584611374196737E-4"/>
    <n v="-5.7381500629969197E-2"/>
    <n v="1052.8399999999999"/>
    <n v="920.98"/>
    <n v="-0.12524220204399517"/>
    <n v="0.7"/>
    <n v="0.7"/>
    <s v=""/>
    <n v="-172.5"/>
    <n v="0"/>
    <n v="1"/>
    <s v="Non conforme"/>
    <m/>
    <m/>
    <n v="0"/>
    <n v="0"/>
    <n v="0"/>
    <s v="Non"/>
    <s v="Oui"/>
    <s v="Non"/>
    <n v="1.0867"/>
    <n v="14.71288006869217"/>
    <n v="0"/>
    <s v="0"/>
    <s v="Gagnant"/>
    <n v="1"/>
    <n v="0"/>
    <m/>
    <n v="29275.56"/>
    <m/>
    <m/>
    <m/>
    <m/>
    <m/>
  </r>
  <r>
    <x v="99"/>
    <n v="259908737"/>
    <s v="UsaInd"/>
    <s v="sell"/>
    <n v="0.5"/>
    <n v="29450.69"/>
    <n v="29460.69"/>
    <m/>
    <d v="2020-02-13T15:47:43"/>
    <n v="29460.91"/>
    <n v="0"/>
    <n v="0"/>
    <n v="-4.71"/>
    <n v="100"/>
    <n v="-83.729999999999961"/>
    <n v="916.27"/>
    <x v="8"/>
    <n v="7"/>
    <d v="1900-01-04T00:00:00"/>
    <n v="15"/>
    <n v="0"/>
    <s v=""/>
    <n v="10"/>
    <n v="200"/>
    <n v="20"/>
    <n v="-1"/>
    <n v="920.98"/>
    <n v="916.27"/>
    <d v="2020-02-13T15:37:15"/>
    <n v="920.68000000000006"/>
    <n v="0"/>
    <d v="2020-02-13T18:18:48"/>
    <n v="867.85"/>
    <n v="0"/>
    <e v="#N/A"/>
    <n v="-5.1141175704141634E-3"/>
    <s v=""/>
    <n v="1052.8399999999999"/>
    <n v="916.27"/>
    <n v="-0.1297158162683788"/>
    <n v="-10.199999999999999"/>
    <s v=""/>
    <n v="-10.199999999999999"/>
    <n v="-182.7"/>
    <n v="0"/>
    <n v="1"/>
    <s v="Non conforme"/>
    <m/>
    <m/>
    <n v="0"/>
    <n v="0"/>
    <n v="0"/>
    <s v="Non"/>
    <s v="Non"/>
    <s v="Non"/>
    <n v="1.0867"/>
    <n v="14.713148300306088"/>
    <n v="0"/>
    <s v="--"/>
    <s v="Perdant"/>
    <n v="0"/>
    <n v="1"/>
    <m/>
    <s v=""/>
    <m/>
    <m/>
    <m/>
    <m/>
    <m/>
  </r>
  <r>
    <x v="100"/>
    <n v="259908869"/>
    <s v="UsaInd"/>
    <s v="sell"/>
    <n v="0.5"/>
    <n v="29446.82"/>
    <n v="29456.82"/>
    <n v="29276.82"/>
    <d v="2020-02-13T15:52:10"/>
    <n v="29445.81"/>
    <n v="0"/>
    <n v="0"/>
    <n v="0.47"/>
    <n v="101"/>
    <n v="-83.259999999999962"/>
    <n v="916.74"/>
    <x v="8"/>
    <n v="7"/>
    <d v="1900-01-04T00:00:00"/>
    <n v="15"/>
    <n v="0"/>
    <s v=""/>
    <n v="10"/>
    <n v="170"/>
    <n v="17"/>
    <n v="0.1"/>
    <n v="916.27"/>
    <n v="916.74"/>
    <d v="2020-02-13T15:37:15"/>
    <n v="920.68000000000006"/>
    <n v="0"/>
    <d v="2020-02-13T18:18:48"/>
    <n v="867.85"/>
    <n v="0"/>
    <e v="#N/A"/>
    <n v="5.1294923985291158E-4"/>
    <s v=""/>
    <n v="1052.8399999999999"/>
    <n v="916.74"/>
    <n v="-0.12926940465787762"/>
    <n v="1"/>
    <n v="1"/>
    <s v=""/>
    <n v="-181.7"/>
    <n v="0"/>
    <n v="1"/>
    <s v="Non conforme"/>
    <m/>
    <m/>
    <n v="0"/>
    <n v="0"/>
    <n v="0"/>
    <s v="Non"/>
    <s v="Non"/>
    <s v="Non"/>
    <n v="1.0867"/>
    <n v="14.786836523502382"/>
    <n v="0"/>
    <s v="0"/>
    <s v="Gagnant"/>
    <n v="1"/>
    <n v="0"/>
    <m/>
    <n v="29276.82"/>
    <m/>
    <m/>
    <m/>
    <m/>
    <m/>
  </r>
  <r>
    <x v="101"/>
    <n v="259910642"/>
    <s v="UsaInd"/>
    <s v="sell"/>
    <n v="0.5"/>
    <n v="29414.81"/>
    <n v="29413.31"/>
    <n v="29214.81"/>
    <d v="2020-02-13T16:15:04"/>
    <n v="29413.62"/>
    <n v="0"/>
    <n v="0"/>
    <n v="0.55000000000000004"/>
    <n v="102"/>
    <n v="-82.709999999999965"/>
    <n v="917.29000000000008"/>
    <x v="8"/>
    <n v="7"/>
    <d v="1900-01-04T00:00:00"/>
    <n v="16"/>
    <n v="0"/>
    <s v=""/>
    <n v="-1.5"/>
    <n v="200"/>
    <n v="20"/>
    <n v="0.1"/>
    <n v="916.74000000000012"/>
    <n v="917.29000000000008"/>
    <d v="2020-02-13T15:37:15"/>
    <n v="920.68000000000006"/>
    <n v="0"/>
    <d v="2020-02-13T18:18:48"/>
    <n v="867.85"/>
    <n v="0"/>
    <e v="#N/A"/>
    <n v="5.9995200383964318E-4"/>
    <s v=""/>
    <n v="1052.8399999999999"/>
    <n v="917.29000000000008"/>
    <n v="-0.12874700809239759"/>
    <n v="1.2"/>
    <n v="1.2"/>
    <s v=""/>
    <n v="-180.5"/>
    <n v="0"/>
    <n v="1"/>
    <s v="Non conforme"/>
    <m/>
    <m/>
    <n v="0"/>
    <n v="0"/>
    <n v="0"/>
    <s v="Non"/>
    <s v="Oui"/>
    <s v="Non"/>
    <n v="1.0867"/>
    <n v="14.76318980906651"/>
    <n v="0"/>
    <s v="0"/>
    <s v="Gagnant"/>
    <n v="1"/>
    <n v="0"/>
    <m/>
    <n v="29214.81"/>
    <m/>
    <m/>
    <m/>
    <m/>
    <m/>
  </r>
  <r>
    <x v="102"/>
    <n v="259913211"/>
    <s v="UsaInd"/>
    <s v="sell"/>
    <n v="0.5"/>
    <n v="29405.66"/>
    <n v="29404.16"/>
    <m/>
    <d v="2020-02-13T16:16:59"/>
    <n v="29404.93"/>
    <n v="0"/>
    <n v="0"/>
    <n v="0.34"/>
    <n v="103"/>
    <n v="-82.369999999999962"/>
    <n v="917.63"/>
    <x v="8"/>
    <n v="7"/>
    <d v="1900-01-04T00:00:00"/>
    <n v="16"/>
    <n v="0"/>
    <s v=""/>
    <n v="-1.5"/>
    <n v="200"/>
    <n v="20"/>
    <n v="0.1"/>
    <n v="917.29"/>
    <n v="917.63"/>
    <d v="2020-02-13T15:37:15"/>
    <n v="920.68000000000006"/>
    <n v="0"/>
    <d v="2020-02-13T18:18:48"/>
    <n v="867.85"/>
    <n v="0"/>
    <e v="#N/A"/>
    <n v="3.7065704411912463E-4"/>
    <s v=""/>
    <n v="1052.8399999999999"/>
    <n v="917.63"/>
    <n v="-0.12842407203373729"/>
    <n v="0.7"/>
    <n v="0.7"/>
    <s v=""/>
    <n v="-179.8"/>
    <n v="0"/>
    <n v="1"/>
    <s v="Non conforme"/>
    <m/>
    <m/>
    <n v="0"/>
    <n v="0"/>
    <n v="0"/>
    <s v="Non"/>
    <s v="Oui"/>
    <s v="Non"/>
    <n v="1.0867"/>
    <n v="14.749748315151319"/>
    <n v="0"/>
    <s v="0"/>
    <s v="Gagnant"/>
    <n v="1"/>
    <n v="0"/>
    <m/>
    <s v=""/>
    <m/>
    <m/>
    <m/>
    <m/>
    <m/>
  </r>
  <r>
    <x v="103"/>
    <n v="259913464"/>
    <s v="UsaInd"/>
    <s v="sell"/>
    <n v="0.5"/>
    <n v="29405.81"/>
    <n v="29415.81"/>
    <m/>
    <d v="2020-02-13T16:19:51"/>
    <n v="29415.98"/>
    <n v="0"/>
    <n v="0"/>
    <n v="-4.6900000000000004"/>
    <n v="104"/>
    <n v="-87.05999999999996"/>
    <n v="912.94"/>
    <x v="8"/>
    <n v="7"/>
    <d v="1900-01-04T00:00:00"/>
    <n v="16"/>
    <n v="0"/>
    <s v=""/>
    <n v="10"/>
    <n v="200"/>
    <n v="20"/>
    <n v="-1"/>
    <n v="917.63000000000011"/>
    <n v="912.94"/>
    <d v="2020-02-13T15:37:15"/>
    <n v="920.68000000000006"/>
    <n v="0"/>
    <d v="2020-02-13T18:18:48"/>
    <n v="867.85"/>
    <n v="0"/>
    <e v="#N/A"/>
    <n v="-5.1109924479365914E-3"/>
    <s v=""/>
    <n v="1052.8399999999999"/>
    <n v="912.94"/>
    <n v="-0.13287869001937602"/>
    <n v="-10.199999999999999"/>
    <s v=""/>
    <n v="-10.199999999999999"/>
    <n v="-190"/>
    <n v="0"/>
    <n v="1"/>
    <s v="Non conforme"/>
    <m/>
    <m/>
    <n v="0"/>
    <n v="0"/>
    <n v="0"/>
    <s v="Non"/>
    <s v="Non"/>
    <s v="Non"/>
    <n v="1.0867"/>
    <n v="14.744358454162349"/>
    <n v="0"/>
    <s v="--"/>
    <s v="Perdant"/>
    <n v="0"/>
    <n v="1"/>
    <m/>
    <s v=""/>
    <m/>
    <m/>
    <m/>
    <m/>
    <m/>
  </r>
  <r>
    <x v="104"/>
    <n v="259913668"/>
    <s v="UsaInd"/>
    <s v="sell"/>
    <n v="0.5"/>
    <n v="29406.61"/>
    <n v="29405.11"/>
    <n v="29216.61"/>
    <d v="2020-02-13T16:23:06"/>
    <n v="29405.82"/>
    <n v="0"/>
    <n v="0"/>
    <n v="0.37"/>
    <n v="105"/>
    <n v="-86.689999999999955"/>
    <n v="913.31000000000006"/>
    <x v="8"/>
    <n v="7"/>
    <d v="1900-01-04T00:00:00"/>
    <n v="16"/>
    <n v="0"/>
    <s v=""/>
    <n v="-1.5"/>
    <n v="190"/>
    <n v="19"/>
    <n v="0.1"/>
    <n v="912.94"/>
    <n v="913.31000000000006"/>
    <d v="2020-02-13T15:37:15"/>
    <n v="920.68000000000006"/>
    <n v="0"/>
    <d v="2020-02-13T18:18:48"/>
    <n v="867.85"/>
    <n v="0"/>
    <e v="#N/A"/>
    <n v="4.0528402742787535E-4"/>
    <s v=""/>
    <n v="1052.8399999999999"/>
    <n v="913.31000000000006"/>
    <n v="-0.13252725960259859"/>
    <n v="0.8"/>
    <n v="0.8"/>
    <s v=""/>
    <n v="-189.2"/>
    <n v="0"/>
    <n v="1"/>
    <s v="Non conforme"/>
    <m/>
    <m/>
    <n v="0"/>
    <n v="0"/>
    <n v="0"/>
    <s v="Non"/>
    <s v="Oui"/>
    <s v="Non"/>
    <n v="1.0867"/>
    <n v="14.820507081693757"/>
    <n v="0"/>
    <s v="0"/>
    <s v="Gagnant"/>
    <n v="1"/>
    <n v="0"/>
    <m/>
    <n v="29216.61"/>
    <m/>
    <m/>
    <m/>
    <m/>
    <m/>
  </r>
  <r>
    <x v="105"/>
    <n v="259914277"/>
    <s v="UsaInd"/>
    <s v="sell"/>
    <n v="0.5"/>
    <n v="29391.81"/>
    <n v="29401.81"/>
    <n v="29256.080000000002"/>
    <d v="2020-02-13T16:26:57"/>
    <n v="29401.96"/>
    <n v="0"/>
    <n v="0"/>
    <n v="-4.6900000000000004"/>
    <n v="106"/>
    <n v="-91.379999999999953"/>
    <n v="908.62"/>
    <x v="8"/>
    <n v="7"/>
    <d v="1900-01-04T00:00:00"/>
    <n v="16"/>
    <n v="0"/>
    <s v=""/>
    <n v="10"/>
    <n v="135.69999999999999"/>
    <n v="13.6"/>
    <n v="-1"/>
    <n v="913.31000000000006"/>
    <n v="908.62"/>
    <d v="2020-02-13T15:37:15"/>
    <n v="920.68000000000006"/>
    <n v="0"/>
    <d v="2020-02-13T18:18:48"/>
    <n v="867.85"/>
    <n v="0"/>
    <e v="#N/A"/>
    <n v="-5.13516768676578E-3"/>
    <s v=""/>
    <n v="1052.8399999999999"/>
    <n v="908.62"/>
    <n v="-0.13698187758823743"/>
    <n v="-10.1"/>
    <s v=""/>
    <n v="-10.1"/>
    <n v="-199.29999999999998"/>
    <n v="0"/>
    <n v="1"/>
    <s v="Non conforme"/>
    <m/>
    <m/>
    <n v="0"/>
    <n v="0"/>
    <n v="0"/>
    <s v="Non"/>
    <s v="Non"/>
    <s v="Non"/>
    <n v="1.0867"/>
    <n v="14.807047035611379"/>
    <n v="0"/>
    <s v="--"/>
    <s v="Perdant"/>
    <n v="0"/>
    <n v="1"/>
    <m/>
    <n v="29256.080000000002"/>
    <m/>
    <m/>
    <m/>
    <m/>
    <m/>
  </r>
  <r>
    <x v="106"/>
    <n v="259914448"/>
    <s v="UsaInd"/>
    <s v="sell"/>
    <n v="0.5"/>
    <n v="29403.81"/>
    <n v="29402.31"/>
    <n v="29223.81"/>
    <d v="2020-02-13T16:46:42"/>
    <n v="29402.81"/>
    <n v="0"/>
    <n v="0"/>
    <n v="0.46"/>
    <n v="107"/>
    <n v="-90.919999999999959"/>
    <n v="909.08"/>
    <x v="8"/>
    <n v="7"/>
    <d v="1900-01-04T00:00:00"/>
    <n v="16"/>
    <n v="0"/>
    <s v=""/>
    <n v="-1.5"/>
    <n v="180"/>
    <n v="18"/>
    <n v="0.1"/>
    <n v="908.62"/>
    <n v="909.08"/>
    <d v="2020-02-13T15:37:15"/>
    <n v="920.68000000000006"/>
    <n v="0"/>
    <d v="2020-02-13T18:18:48"/>
    <n v="867.85"/>
    <n v="0"/>
    <e v="#N/A"/>
    <n v="5.0626224384235034E-4"/>
    <s v=""/>
    <n v="1052.8399999999999"/>
    <n v="909.08"/>
    <n v="-0.1365449640971087"/>
    <n v="1"/>
    <n v="1"/>
    <s v=""/>
    <n v="-198.29999999999998"/>
    <n v="0"/>
    <n v="1"/>
    <s v="Non conforme"/>
    <m/>
    <m/>
    <n v="0"/>
    <n v="0"/>
    <n v="0"/>
    <s v="Non"/>
    <s v="Oui"/>
    <s v="Non"/>
    <n v="1.0867"/>
    <n v="14.889552762564929"/>
    <n v="0"/>
    <s v="0"/>
    <s v="Gagnant"/>
    <n v="1"/>
    <n v="0"/>
    <m/>
    <n v="29223.81"/>
    <m/>
    <m/>
    <m/>
    <m/>
    <m/>
  </r>
  <r>
    <x v="107"/>
    <n v="259916815"/>
    <s v="UsaInd"/>
    <s v="sell"/>
    <n v="0.5"/>
    <n v="29408.959999999999"/>
    <n v="29418.959999999999"/>
    <m/>
    <d v="2020-02-13T16:50:28"/>
    <n v="29419.01"/>
    <n v="0"/>
    <n v="0"/>
    <n v="-4.6399999999999997"/>
    <n v="108"/>
    <n v="-95.55999999999996"/>
    <n v="904.44"/>
    <x v="8"/>
    <n v="7"/>
    <d v="1900-01-04T00:00:00"/>
    <n v="16"/>
    <n v="0"/>
    <s v=""/>
    <n v="10"/>
    <n v="200"/>
    <n v="20"/>
    <n v="-1"/>
    <n v="909.08"/>
    <n v="904.44"/>
    <d v="2020-02-13T15:37:15"/>
    <n v="920.68000000000006"/>
    <n v="0"/>
    <d v="2020-02-13T18:18:48"/>
    <n v="867.85"/>
    <n v="0"/>
    <e v="#N/A"/>
    <n v="-5.1040612487349693E-3"/>
    <s v=""/>
    <n v="1052.8399999999999"/>
    <n v="904.44"/>
    <n v="-0.14095209148588572"/>
    <n v="-10"/>
    <s v=""/>
    <n v="-10"/>
    <n v="-208.29999999999998"/>
    <n v="0"/>
    <n v="1"/>
    <s v="Non conforme"/>
    <m/>
    <m/>
    <n v="0"/>
    <n v="0"/>
    <n v="0"/>
    <s v="Non"/>
    <s v="Non"/>
    <s v="Non"/>
    <n v="1.0867"/>
    <n v="14.88462510487275"/>
    <n v="0"/>
    <s v="--"/>
    <s v="Perdant"/>
    <n v="0"/>
    <n v="1"/>
    <m/>
    <s v=""/>
    <m/>
    <m/>
    <m/>
    <m/>
    <m/>
  </r>
  <r>
    <x v="108"/>
    <n v="259916826"/>
    <s v="UsaInd"/>
    <s v="sell"/>
    <n v="0.5"/>
    <n v="29417.83"/>
    <n v="29427.83"/>
    <m/>
    <d v="2020-02-13T16:51:05"/>
    <n v="29427.87"/>
    <n v="0"/>
    <n v="0"/>
    <n v="-4.63"/>
    <n v="109"/>
    <n v="-100.18999999999996"/>
    <n v="899.81000000000006"/>
    <x v="8"/>
    <n v="7"/>
    <d v="1900-01-04T00:00:00"/>
    <n v="16"/>
    <n v="0"/>
    <s v=""/>
    <n v="10"/>
    <n v="200"/>
    <n v="20"/>
    <n v="-1"/>
    <n v="904.44"/>
    <n v="899.81000000000006"/>
    <d v="2020-02-13T15:37:15"/>
    <n v="920.68000000000006"/>
    <n v="0"/>
    <d v="2020-02-13T18:18:48"/>
    <n v="867.85"/>
    <n v="0"/>
    <e v="#N/A"/>
    <n v="-5.1191897748883233E-3"/>
    <s v=""/>
    <n v="1052.8399999999999"/>
    <n v="899.81000000000006"/>
    <n v="-0.14534972075529029"/>
    <n v="-10"/>
    <s v=""/>
    <n v="-10"/>
    <n v="-218.29999999999998"/>
    <n v="0"/>
    <n v="1"/>
    <s v="Non conforme"/>
    <m/>
    <m/>
    <n v="0"/>
    <n v="0"/>
    <n v="0"/>
    <s v="Non"/>
    <s v="Non"/>
    <s v="Non"/>
    <n v="1.0867"/>
    <n v="14.965499263071321"/>
    <n v="0"/>
    <s v="--"/>
    <s v="Perdant"/>
    <n v="0"/>
    <n v="1"/>
    <m/>
    <s v=""/>
    <m/>
    <m/>
    <m/>
    <m/>
    <m/>
  </r>
  <r>
    <x v="109"/>
    <n v="259916960"/>
    <s v="UsaInd"/>
    <s v="sell"/>
    <n v="0.5"/>
    <n v="29431.79"/>
    <n v="29441.79"/>
    <n v="29231.79"/>
    <d v="2020-02-13T16:52:58"/>
    <n v="29441.95"/>
    <n v="0"/>
    <n v="0"/>
    <n v="-4.68"/>
    <n v="110"/>
    <n v="-104.86999999999995"/>
    <n v="895.13000000000011"/>
    <x v="8"/>
    <n v="7"/>
    <d v="1900-01-04T00:00:00"/>
    <n v="16"/>
    <n v="0"/>
    <s v=""/>
    <n v="10"/>
    <n v="200"/>
    <n v="20"/>
    <n v="-1"/>
    <n v="899.81000000000006"/>
    <n v="895.13000000000011"/>
    <d v="2020-02-13T15:37:15"/>
    <n v="920.68000000000006"/>
    <n v="0"/>
    <d v="2020-02-13T18:18:48"/>
    <n v="867.85"/>
    <n v="0"/>
    <e v="#N/A"/>
    <n v="-5.2010980095797445E-3"/>
    <s v=""/>
    <n v="1052.8399999999999"/>
    <n v="895.13000000000011"/>
    <n v="-0.14979484062155679"/>
    <n v="-10.199999999999999"/>
    <s v=""/>
    <n v="-10.199999999999999"/>
    <n v="-228.49999999999997"/>
    <n v="0"/>
    <n v="1"/>
    <s v="Non conforme"/>
    <m/>
    <m/>
    <n v="0"/>
    <n v="0"/>
    <n v="0"/>
    <s v="Non"/>
    <s v="Non"/>
    <s v="Non"/>
    <n v="1.0867"/>
    <n v="15.04964300168654"/>
    <n v="0"/>
    <s v="--"/>
    <s v="Perdant"/>
    <n v="0"/>
    <n v="1"/>
    <m/>
    <n v="29231.79"/>
    <m/>
    <m/>
    <m/>
    <m/>
    <m/>
  </r>
  <r>
    <x v="110"/>
    <n v="259916884"/>
    <s v="UsaInd"/>
    <s v="sell"/>
    <n v="0.5"/>
    <n v="29443.759999999998"/>
    <n v="29452.99"/>
    <m/>
    <d v="2020-02-13T16:59:15"/>
    <n v="29453.78"/>
    <n v="0"/>
    <n v="0"/>
    <n v="-4.62"/>
    <n v="111"/>
    <n v="-109.48999999999995"/>
    <n v="890.51"/>
    <x v="8"/>
    <n v="7"/>
    <d v="1900-01-04T00:00:00"/>
    <n v="16"/>
    <n v="0"/>
    <s v=""/>
    <n v="9.1999999999999993"/>
    <n v="200"/>
    <n v="21.7"/>
    <n v="-1"/>
    <n v="895.13"/>
    <n v="890.51"/>
    <d v="2020-02-13T15:37:15"/>
    <n v="920.68000000000006"/>
    <n v="0"/>
    <d v="2020-02-13T18:18:48"/>
    <n v="867.85"/>
    <n v="0"/>
    <e v="#N/A"/>
    <n v="-5.1612614927440759E-3"/>
    <s v=""/>
    <n v="1052.8399999999999"/>
    <n v="890.51"/>
    <n v="-0.15418297177158913"/>
    <n v="-10"/>
    <s v=""/>
    <n v="-10"/>
    <n v="-238.49999999999997"/>
    <n v="0"/>
    <n v="1"/>
    <s v="Non conforme"/>
    <m/>
    <m/>
    <n v="0"/>
    <n v="0"/>
    <n v="0"/>
    <s v="Non"/>
    <s v="Non"/>
    <s v="Non"/>
    <n v="1.0867"/>
    <n v="15.134479650014535"/>
    <n v="0"/>
    <s v="--"/>
    <s v="Perdant"/>
    <n v="0"/>
    <n v="1"/>
    <m/>
    <s v=""/>
    <m/>
    <m/>
    <m/>
    <m/>
    <m/>
  </r>
  <r>
    <x v="111"/>
    <n v="259916894"/>
    <s v="UsaInd"/>
    <s v="sell"/>
    <n v="0.5"/>
    <n v="29454.75"/>
    <n v="29463.88"/>
    <n v="29269.99"/>
    <d v="2020-02-13T17:03:09"/>
    <n v="29463.98"/>
    <n v="0"/>
    <n v="0"/>
    <n v="-4.26"/>
    <n v="112"/>
    <n v="-113.74999999999996"/>
    <n v="886.25"/>
    <x v="8"/>
    <n v="7"/>
    <d v="1900-01-04T00:00:00"/>
    <n v="17"/>
    <n v="0"/>
    <s v=""/>
    <n v="9.1"/>
    <n v="184.8"/>
    <n v="20.3"/>
    <n v="-0.9"/>
    <n v="890.51"/>
    <n v="886.25"/>
    <d v="2020-02-13T15:37:15"/>
    <n v="920.68000000000006"/>
    <n v="0"/>
    <d v="2020-02-13T18:18:48"/>
    <n v="867.85"/>
    <n v="0"/>
    <e v="#N/A"/>
    <n v="-4.7837755892690603E-3"/>
    <s v=""/>
    <n v="1052.8399999999999"/>
    <n v="886.25"/>
    <n v="-0.15822917062421638"/>
    <n v="-9.1999999999999993"/>
    <s v=""/>
    <n v="-9.1999999999999993"/>
    <n v="-247.69999999999996"/>
    <n v="0"/>
    <n v="1"/>
    <s v="Non conforme"/>
    <m/>
    <m/>
    <n v="0"/>
    <n v="0"/>
    <n v="0"/>
    <s v="Non"/>
    <s v="Non"/>
    <s v="Non"/>
    <n v="1.0867"/>
    <n v="15.218676222022822"/>
    <n v="0"/>
    <s v="--"/>
    <s v="Perdant"/>
    <n v="0"/>
    <n v="1"/>
    <m/>
    <n v="29269.99"/>
    <m/>
    <m/>
    <m/>
    <m/>
    <m/>
  </r>
  <r>
    <x v="112"/>
    <n v="259918267"/>
    <s v="UsaInd"/>
    <s v="sell"/>
    <n v="0.5"/>
    <n v="29459.75"/>
    <n v="29469.75"/>
    <n v="29259.75"/>
    <d v="2020-02-13T17:23:39"/>
    <n v="29469.91"/>
    <n v="0"/>
    <n v="0"/>
    <n v="-4.68"/>
    <n v="113"/>
    <n v="-118.42999999999995"/>
    <n v="881.57"/>
    <x v="8"/>
    <n v="7"/>
    <d v="1900-01-04T00:00:00"/>
    <n v="17"/>
    <n v="0"/>
    <s v=""/>
    <n v="10"/>
    <n v="200"/>
    <n v="20"/>
    <n v="-1"/>
    <n v="886.25"/>
    <n v="881.57"/>
    <d v="2020-02-13T15:37:15"/>
    <n v="920.68000000000006"/>
    <n v="0"/>
    <d v="2020-02-13T18:18:48"/>
    <n v="867.85"/>
    <n v="0"/>
    <e v="#N/A"/>
    <n v="-5.2806770098730044E-3"/>
    <s v=""/>
    <n v="1052.8399999999999"/>
    <n v="881.57"/>
    <n v="-0.16267429049048276"/>
    <n v="-10.199999999999999"/>
    <s v=""/>
    <n v="-10.199999999999999"/>
    <n v="-257.89999999999998"/>
    <n v="0"/>
    <n v="1"/>
    <s v="Non conforme"/>
    <m/>
    <m/>
    <n v="0"/>
    <n v="0"/>
    <n v="0"/>
    <s v="Non"/>
    <s v="Non"/>
    <s v="Non"/>
    <n v="1.0867"/>
    <n v="15.294424716955344"/>
    <n v="0"/>
    <s v="--"/>
    <s v="Perdant"/>
    <n v="0"/>
    <n v="1"/>
    <m/>
    <n v="29259.75"/>
    <m/>
    <m/>
    <m/>
    <m/>
    <m/>
  </r>
  <r>
    <x v="113"/>
    <n v="259920086"/>
    <s v="UsaInd"/>
    <s v="sell"/>
    <n v="0.5"/>
    <n v="29469.82"/>
    <n v="29479.82"/>
    <n v="28919.82"/>
    <d v="2020-02-13T17:27:57"/>
    <n v="29479.84"/>
    <n v="0"/>
    <n v="0"/>
    <n v="-4.62"/>
    <n v="114"/>
    <n v="-123.04999999999995"/>
    <n v="876.95"/>
    <x v="8"/>
    <n v="7"/>
    <d v="1900-01-04T00:00:00"/>
    <n v="17"/>
    <n v="0"/>
    <s v=""/>
    <n v="10"/>
    <n v="550"/>
    <n v="55"/>
    <n v="-1"/>
    <n v="881.57"/>
    <n v="876.95"/>
    <d v="2020-02-13T15:37:15"/>
    <n v="920.68000000000006"/>
    <n v="0"/>
    <d v="2020-02-13T18:18:48"/>
    <n v="867.85"/>
    <n v="0"/>
    <e v="#N/A"/>
    <n v="-5.2406502036140114E-3"/>
    <s v=""/>
    <n v="1052.8399999999999"/>
    <n v="876.95"/>
    <n v="-0.1670624216405151"/>
    <n v="-10"/>
    <s v=""/>
    <n v="-10"/>
    <n v="-267.89999999999998"/>
    <n v="0"/>
    <n v="1"/>
    <s v="Non conforme"/>
    <m/>
    <m/>
    <n v="0"/>
    <n v="0"/>
    <n v="0"/>
    <s v="Non"/>
    <s v="Non"/>
    <s v="Non"/>
    <n v="1.0867"/>
    <n v="15.380874121010162"/>
    <n v="0"/>
    <s v="--"/>
    <s v="Perdant"/>
    <n v="0"/>
    <n v="1"/>
    <m/>
    <n v="28919.82"/>
    <m/>
    <m/>
    <m/>
    <m/>
    <m/>
  </r>
  <r>
    <x v="114"/>
    <n v="259920330"/>
    <s v="UsaInd"/>
    <s v="sell"/>
    <n v="0.5"/>
    <n v="29476.76"/>
    <n v="29486.76"/>
    <n v="28916.76"/>
    <d v="2020-02-13T17:32:35"/>
    <n v="29486.959999999999"/>
    <n v="0"/>
    <n v="0"/>
    <n v="-4.7"/>
    <n v="115"/>
    <n v="-127.74999999999996"/>
    <n v="872.25"/>
    <x v="8"/>
    <n v="7"/>
    <d v="1900-01-04T00:00:00"/>
    <n v="17"/>
    <n v="0"/>
    <s v=""/>
    <n v="10"/>
    <n v="560"/>
    <n v="56"/>
    <n v="-1"/>
    <n v="876.95"/>
    <n v="872.25"/>
    <d v="2020-02-13T15:37:15"/>
    <n v="920.68000000000006"/>
    <n v="0"/>
    <d v="2020-02-13T18:18:48"/>
    <n v="867.85"/>
    <n v="0"/>
    <e v="#N/A"/>
    <n v="-5.3594845772279437E-3"/>
    <s v=""/>
    <n v="1052.8399999999999"/>
    <n v="872.25"/>
    <n v="-0.17152653774552629"/>
    <n v="-10.199999999999999"/>
    <s v=""/>
    <n v="-10.199999999999999"/>
    <n v="-278.09999999999997"/>
    <n v="0"/>
    <n v="1"/>
    <s v="Non conforme"/>
    <m/>
    <m/>
    <n v="0"/>
    <n v="0"/>
    <n v="0"/>
    <s v="Non"/>
    <s v="Non"/>
    <s v="Non"/>
    <n v="1.0867"/>
    <n v="15.465545757960175"/>
    <n v="0"/>
    <s v="--"/>
    <s v="Perdant"/>
    <n v="0"/>
    <n v="1"/>
    <m/>
    <n v="28916.76"/>
    <m/>
    <m/>
    <m/>
    <m/>
    <m/>
  </r>
  <r>
    <x v="115"/>
    <n v="259920649"/>
    <s v="UsaInd"/>
    <s v="sell"/>
    <n v="0.5"/>
    <n v="29486.79"/>
    <n v="29496.79"/>
    <m/>
    <d v="2020-02-13T17:35:17"/>
    <n v="29496.95"/>
    <n v="0"/>
    <n v="0"/>
    <n v="-4.68"/>
    <n v="116"/>
    <n v="-132.42999999999995"/>
    <n v="867.57"/>
    <x v="8"/>
    <n v="7"/>
    <d v="1900-01-04T00:00:00"/>
    <n v="17"/>
    <n v="0"/>
    <s v=""/>
    <n v="10"/>
    <n v="200"/>
    <n v="20"/>
    <n v="-1"/>
    <n v="872.25"/>
    <n v="867.57"/>
    <d v="2020-02-13T15:37:15"/>
    <n v="920.68000000000006"/>
    <n v="0"/>
    <d v="2020-02-13T18:18:48"/>
    <n v="867.85"/>
    <n v="0"/>
    <e v="#N/A"/>
    <n v="-5.3654342218400113E-3"/>
    <s v=""/>
    <n v="1052.8399999999999"/>
    <n v="867.57"/>
    <n v="-0.17597165761179279"/>
    <n v="-10.199999999999999"/>
    <s v=""/>
    <n v="-10.199999999999999"/>
    <n v="-288.29999999999995"/>
    <n v="0"/>
    <n v="1"/>
    <s v="Non conforme"/>
    <m/>
    <m/>
    <n v="0"/>
    <n v="0"/>
    <n v="0"/>
    <s v="Non"/>
    <s v="Non"/>
    <s v="Non"/>
    <n v="1.0867"/>
    <n v="15.554170526290637"/>
    <n v="0"/>
    <s v="--"/>
    <s v="Perdant"/>
    <n v="0"/>
    <n v="1"/>
    <m/>
    <s v=""/>
    <m/>
    <m/>
    <m/>
    <m/>
    <m/>
  </r>
  <r>
    <x v="116"/>
    <n v="259920669"/>
    <s v="UsaInd"/>
    <s v="sell"/>
    <n v="0.5"/>
    <n v="29524.81"/>
    <n v="29523.31"/>
    <m/>
    <d v="2020-02-13T20:03:56"/>
    <n v="29524.22"/>
    <n v="0"/>
    <n v="0"/>
    <n v="0.28000000000000003"/>
    <n v="117"/>
    <n v="-132.14999999999995"/>
    <n v="867.85"/>
    <x v="8"/>
    <n v="7"/>
    <d v="1900-01-04T00:00:00"/>
    <n v="20"/>
    <n v="0"/>
    <s v=""/>
    <n v="-1.5"/>
    <n v="200"/>
    <n v="20"/>
    <n v="0.1"/>
    <n v="867.57"/>
    <n v="867.85"/>
    <d v="2020-02-13T15:37:15"/>
    <n v="920.68000000000006"/>
    <n v="0"/>
    <d v="2020-02-13T18:18:48"/>
    <n v="867.85"/>
    <n v="867.85"/>
    <n v="867.85"/>
    <n v="3.2274052814178992E-4"/>
    <s v=""/>
    <n v="1052.8399999999999"/>
    <n v="867.85"/>
    <n v="-0.17570571026936654"/>
    <n v="0.6"/>
    <n v="0.6"/>
    <s v=""/>
    <n v="-287.69999999999993"/>
    <n v="0"/>
    <n v="1"/>
    <s v="Non conforme"/>
    <m/>
    <m/>
    <n v="0"/>
    <n v="0"/>
    <n v="0"/>
    <s v="Non"/>
    <s v="Oui"/>
    <s v="Non"/>
    <n v="1.0867"/>
    <n v="15.658239185290544"/>
    <n v="0"/>
    <s v="0"/>
    <s v="Gagnant"/>
    <n v="1"/>
    <n v="0"/>
    <m/>
    <s v=""/>
    <m/>
    <m/>
    <m/>
    <m/>
    <m/>
  </r>
  <r>
    <x v="117"/>
    <n v="259948472"/>
    <s v="UsaInd"/>
    <s v="buy"/>
    <n v="0.5"/>
    <n v="29466.15"/>
    <n v="29460.97"/>
    <n v="29526.15"/>
    <d v="2020-02-14T09:58:18"/>
    <n v="29460.02"/>
    <n v="0"/>
    <n v="0"/>
    <n v="-2.83"/>
    <n v="118"/>
    <n v="-134.97999999999996"/>
    <n v="865.02"/>
    <x v="9"/>
    <n v="7"/>
    <d v="1900-01-05T00:00:00"/>
    <n v="9"/>
    <n v="1"/>
    <n v="26"/>
    <n v="5.2"/>
    <n v="60"/>
    <n v="11.5"/>
    <n v="-0.6"/>
    <n v="867.85"/>
    <n v="865.02"/>
    <d v="2020-02-14T09:23:01"/>
    <n v="867.85"/>
    <n v="867.85"/>
    <d v="2020-02-14T19:53:47"/>
    <n v="775.01"/>
    <n v="0"/>
    <e v="#N/A"/>
    <n v="-3.2609321887423414E-3"/>
    <n v="-0.10697701215647869"/>
    <n v="1052.8399999999999"/>
    <n v="865.02"/>
    <n v="-0.17839367805174566"/>
    <n v="-6.1"/>
    <s v=""/>
    <n v="-6.1"/>
    <n v="-293.79999999999995"/>
    <n v="0"/>
    <n v="1"/>
    <s v="Non conforme"/>
    <m/>
    <m/>
    <n v="0"/>
    <n v="0"/>
    <n v="0"/>
    <s v="Non"/>
    <s v="Non"/>
    <s v="Non"/>
    <n v="1.0842000000000001"/>
    <n v="15.658109611246923"/>
    <n v="0"/>
    <s v="--"/>
    <s v="Perdant"/>
    <n v="0"/>
    <n v="1"/>
    <m/>
    <n v="29526.15"/>
    <m/>
    <m/>
    <m/>
    <m/>
    <m/>
  </r>
  <r>
    <x v="118"/>
    <n v="259950761"/>
    <s v="UsaInd"/>
    <s v="buy"/>
    <n v="0.5"/>
    <n v="29467.25"/>
    <n v="29457.25"/>
    <n v="29527.25"/>
    <d v="2020-02-14T10:01:30"/>
    <n v="29457.19"/>
    <n v="0"/>
    <n v="0"/>
    <n v="-4.6399999999999997"/>
    <n v="119"/>
    <n v="-139.61999999999995"/>
    <n v="860.38000000000011"/>
    <x v="9"/>
    <n v="7"/>
    <d v="1900-01-05T00:00:00"/>
    <n v="10"/>
    <n v="0"/>
    <s v=""/>
    <n v="10"/>
    <n v="60"/>
    <n v="6"/>
    <n v="-1"/>
    <n v="865.0200000000001"/>
    <n v="860.38000000000011"/>
    <d v="2020-02-14T09:23:01"/>
    <n v="867.85"/>
    <n v="0"/>
    <d v="2020-02-14T19:53:47"/>
    <n v="775.01"/>
    <n v="0"/>
    <e v="#N/A"/>
    <n v="-5.3640378257149958E-3"/>
    <s v=""/>
    <n v="1052.8399999999999"/>
    <n v="860.38000000000011"/>
    <n v="-0.18280080544052257"/>
    <n v="-10.1"/>
    <s v=""/>
    <n v="-10.1"/>
    <n v="-303.89999999999998"/>
    <n v="0"/>
    <n v="1"/>
    <s v="Non conforme"/>
    <m/>
    <m/>
    <n v="0"/>
    <n v="0"/>
    <n v="0"/>
    <s v="Non"/>
    <s v="Non"/>
    <s v="Non"/>
    <n v="1.0842000000000001"/>
    <n v="15.709923137729936"/>
    <n v="0"/>
    <s v="--"/>
    <s v="Perdant"/>
    <n v="0"/>
    <n v="1"/>
    <m/>
    <n v="29527.25"/>
    <m/>
    <m/>
    <m/>
    <m/>
    <m/>
  </r>
  <r>
    <x v="119"/>
    <n v="259950984"/>
    <s v="UsaInd"/>
    <s v="buy"/>
    <n v="0.5"/>
    <n v="29457.06"/>
    <n v="29447.06"/>
    <n v="29527.06"/>
    <d v="2020-02-14T10:05:24"/>
    <n v="29446.29"/>
    <n v="0"/>
    <n v="0"/>
    <n v="-4.97"/>
    <n v="120"/>
    <n v="-144.58999999999995"/>
    <n v="855.41000000000008"/>
    <x v="9"/>
    <n v="7"/>
    <d v="1900-01-05T00:00:00"/>
    <n v="10"/>
    <n v="0"/>
    <s v=""/>
    <n v="10"/>
    <n v="70"/>
    <n v="7"/>
    <n v="-1.1000000000000001"/>
    <n v="860.38000000000011"/>
    <n v="855.41000000000008"/>
    <d v="2020-02-14T09:23:01"/>
    <n v="867.85"/>
    <n v="0"/>
    <d v="2020-02-14T19:53:47"/>
    <n v="775.01"/>
    <n v="0"/>
    <e v="#N/A"/>
    <n v="-5.7765173527976324E-3"/>
    <s v=""/>
    <n v="1052.8399999999999"/>
    <n v="855.41000000000008"/>
    <n v="-0.18752137076858766"/>
    <n v="-10.8"/>
    <s v=""/>
    <n v="-10.8"/>
    <n v="-314.7"/>
    <n v="0"/>
    <n v="1"/>
    <s v="Non conforme"/>
    <m/>
    <m/>
    <n v="0"/>
    <n v="0"/>
    <n v="0"/>
    <s v="Non"/>
    <s v="Non"/>
    <s v="Non"/>
    <n v="1.0842000000000001"/>
    <n v="15.789184308247574"/>
    <n v="0"/>
    <s v="--"/>
    <s v="Perdant"/>
    <n v="0"/>
    <n v="1"/>
    <m/>
    <n v="29527.06"/>
    <m/>
    <m/>
    <m/>
    <m/>
    <m/>
  </r>
  <r>
    <x v="120"/>
    <n v="259951106"/>
    <s v="UsaInd"/>
    <s v="buy"/>
    <n v="0.5"/>
    <n v="29443.16"/>
    <n v="29433.22"/>
    <m/>
    <d v="2020-02-14T10:08:01"/>
    <n v="29433.15"/>
    <n v="0"/>
    <n v="0"/>
    <n v="-4.62"/>
    <n v="121"/>
    <n v="-149.20999999999995"/>
    <n v="850.79000000000008"/>
    <x v="9"/>
    <n v="7"/>
    <d v="1900-01-05T00:00:00"/>
    <n v="10"/>
    <n v="0"/>
    <s v=""/>
    <n v="9.9"/>
    <n v="200"/>
    <n v="20.2"/>
    <n v="-1"/>
    <n v="855.41000000000008"/>
    <n v="850.79000000000008"/>
    <d v="2020-02-14T09:23:01"/>
    <n v="867.85"/>
    <n v="0"/>
    <d v="2020-02-14T19:53:47"/>
    <n v="775.01"/>
    <n v="0"/>
    <e v="#N/A"/>
    <n v="-5.4009188576238341E-3"/>
    <s v=""/>
    <n v="1052.8399999999999"/>
    <n v="850.79000000000008"/>
    <n v="-0.19190950191862"/>
    <n v="-10"/>
    <s v=""/>
    <n v="-10"/>
    <n v="-324.7"/>
    <n v="0"/>
    <n v="1"/>
    <s v="Non conforme"/>
    <m/>
    <m/>
    <n v="0"/>
    <n v="0"/>
    <n v="0"/>
    <s v="Non"/>
    <s v="Non"/>
    <s v="Non"/>
    <n v="1.0842000000000001"/>
    <n v="15.873426939970063"/>
    <n v="0"/>
    <s v="--"/>
    <s v="Perdant"/>
    <n v="0"/>
    <n v="1"/>
    <m/>
    <s v=""/>
    <m/>
    <m/>
    <m/>
    <m/>
    <m/>
  </r>
  <r>
    <x v="121"/>
    <n v="259952991"/>
    <s v="UsaInd"/>
    <s v="sell"/>
    <n v="0.5"/>
    <n v="29460.2"/>
    <n v="29470.2"/>
    <n v="29400.2"/>
    <d v="2020-02-14T10:42:29"/>
    <n v="29470.23"/>
    <n v="0"/>
    <n v="0"/>
    <n v="-4.63"/>
    <n v="122"/>
    <n v="-153.83999999999995"/>
    <n v="846.16000000000008"/>
    <x v="9"/>
    <n v="7"/>
    <d v="1900-01-05T00:00:00"/>
    <n v="10"/>
    <n v="0"/>
    <s v=""/>
    <n v="10"/>
    <n v="60"/>
    <n v="6"/>
    <n v="-1"/>
    <n v="850.79000000000008"/>
    <n v="846.16000000000008"/>
    <d v="2020-02-14T09:23:01"/>
    <n v="867.85"/>
    <n v="0"/>
    <d v="2020-02-14T19:53:47"/>
    <n v="775.01"/>
    <n v="0"/>
    <e v="#N/A"/>
    <n v="-5.4420009638101001E-3"/>
    <s v=""/>
    <n v="1052.8399999999999"/>
    <n v="846.16000000000008"/>
    <n v="-0.19630713118802467"/>
    <n v="-10"/>
    <s v=""/>
    <n v="-10"/>
    <n v="-334.7"/>
    <n v="0"/>
    <n v="1"/>
    <s v="Non conforme"/>
    <m/>
    <m/>
    <n v="0"/>
    <n v="0"/>
    <n v="0"/>
    <s v="Non"/>
    <s v="Non"/>
    <s v="Non"/>
    <n v="1.0842000000000001"/>
    <n v="15.968860079974412"/>
    <n v="0"/>
    <s v="--"/>
    <s v="Perdant"/>
    <n v="0"/>
    <n v="1"/>
    <m/>
    <n v="29400.2"/>
    <m/>
    <m/>
    <m/>
    <m/>
    <m/>
  </r>
  <r>
    <x v="122"/>
    <n v="259957219"/>
    <s v="UsaInd"/>
    <s v="buy"/>
    <n v="0.5"/>
    <n v="29466.37"/>
    <n v="29456.37"/>
    <n v="29586.37"/>
    <d v="2020-02-14T12:12:28"/>
    <n v="29456.3"/>
    <n v="0"/>
    <n v="0"/>
    <n v="-4.6500000000000004"/>
    <n v="123"/>
    <n v="-158.48999999999995"/>
    <n v="841.51"/>
    <x v="9"/>
    <n v="7"/>
    <d v="1900-01-05T00:00:00"/>
    <n v="12"/>
    <n v="0"/>
    <s v=""/>
    <n v="10"/>
    <n v="120"/>
    <n v="12"/>
    <n v="-1"/>
    <n v="846.16"/>
    <n v="841.51"/>
    <d v="2020-02-14T09:23:01"/>
    <n v="867.85"/>
    <n v="0"/>
    <d v="2020-02-14T19:53:47"/>
    <n v="775.01"/>
    <n v="0"/>
    <e v="#N/A"/>
    <n v="-5.4954145788030364E-3"/>
    <s v=""/>
    <n v="1052.8399999999999"/>
    <n v="841.51"/>
    <n v="-0.20072375669617415"/>
    <n v="-10.1"/>
    <s v=""/>
    <n v="-10.1"/>
    <n v="-344.8"/>
    <n v="0"/>
    <n v="1"/>
    <s v="Non conforme"/>
    <m/>
    <m/>
    <n v="0"/>
    <n v="0"/>
    <n v="0"/>
    <s v="Non"/>
    <s v="Non"/>
    <s v="Non"/>
    <n v="1.0842000000000001"/>
    <n v="16.059600883303801"/>
    <n v="0"/>
    <s v="--"/>
    <s v="Perdant"/>
    <n v="0"/>
    <n v="1"/>
    <m/>
    <n v="29586.37"/>
    <m/>
    <m/>
    <m/>
    <m/>
    <m/>
  </r>
  <r>
    <x v="123"/>
    <n v="259981344"/>
    <s v="UsaInd"/>
    <s v="buy"/>
    <n v="0.5"/>
    <n v="29405.51"/>
    <n v="29395.51"/>
    <m/>
    <d v="2020-02-14T15:38:25"/>
    <n v="29395.47"/>
    <n v="0"/>
    <n v="0"/>
    <n v="-4.62"/>
    <n v="124"/>
    <n v="-163.10999999999996"/>
    <n v="836.8900000000001"/>
    <x v="9"/>
    <n v="7"/>
    <d v="1900-01-05T00:00:00"/>
    <n v="15"/>
    <n v="0"/>
    <s v=""/>
    <n v="10"/>
    <n v="200"/>
    <n v="20"/>
    <n v="-1"/>
    <n v="841.5100000000001"/>
    <n v="836.8900000000001"/>
    <d v="2020-02-14T09:23:01"/>
    <n v="867.85"/>
    <n v="0"/>
    <d v="2020-02-14T19:53:47"/>
    <n v="775.01"/>
    <n v="0"/>
    <e v="#N/A"/>
    <n v="-5.490130836234868E-3"/>
    <s v=""/>
    <n v="1052.8399999999999"/>
    <n v="836.8900000000001"/>
    <n v="-0.20511188784620626"/>
    <n v="-10"/>
    <s v=""/>
    <n v="-10"/>
    <n v="-354.8"/>
    <n v="0"/>
    <n v="1"/>
    <s v="Non conforme"/>
    <m/>
    <m/>
    <n v="0"/>
    <n v="0"/>
    <n v="0"/>
    <s v="Non"/>
    <s v="Non"/>
    <s v="Non"/>
    <n v="1.0842000000000001"/>
    <n v="16.114989846904955"/>
    <n v="0"/>
    <s v="--"/>
    <s v="Perdant"/>
    <n v="0"/>
    <n v="1"/>
    <m/>
    <s v=""/>
    <m/>
    <m/>
    <m/>
    <m/>
    <m/>
  </r>
  <r>
    <x v="124"/>
    <n v="259981653"/>
    <s v="UsaInd"/>
    <s v="buy"/>
    <n v="0.5"/>
    <n v="29398.71"/>
    <n v="29388.71"/>
    <n v="29578.71"/>
    <d v="2020-02-14T15:56:44"/>
    <n v="29388.63"/>
    <n v="0"/>
    <n v="0"/>
    <n v="-4.6399999999999997"/>
    <n v="125"/>
    <n v="-167.74999999999994"/>
    <n v="832.25"/>
    <x v="9"/>
    <n v="7"/>
    <d v="1900-01-05T00:00:00"/>
    <n v="15"/>
    <n v="0"/>
    <s v=""/>
    <n v="10"/>
    <n v="180"/>
    <n v="18"/>
    <n v="-1"/>
    <n v="836.89"/>
    <n v="832.25"/>
    <d v="2020-02-14T09:23:01"/>
    <n v="867.85"/>
    <n v="0"/>
    <d v="2020-02-14T19:53:47"/>
    <n v="775.01"/>
    <n v="0"/>
    <e v="#N/A"/>
    <n v="-5.5443367706627953E-3"/>
    <s v=""/>
    <n v="1052.8399999999999"/>
    <n v="832.25"/>
    <n v="-0.2095190152349834"/>
    <n v="-10.1"/>
    <s v=""/>
    <n v="-10.1"/>
    <n v="-364.90000000000003"/>
    <n v="0"/>
    <n v="1"/>
    <s v="Non conforme"/>
    <m/>
    <m/>
    <n v="0"/>
    <n v="0"/>
    <n v="0"/>
    <s v="Non"/>
    <s v="Non"/>
    <s v="Non"/>
    <n v="1.0842000000000001"/>
    <n v="16.200204511097933"/>
    <n v="0"/>
    <s v="--"/>
    <s v="Perdant"/>
    <n v="0"/>
    <n v="1"/>
    <m/>
    <n v="29578.71"/>
    <m/>
    <m/>
    <m/>
    <m/>
    <m/>
  </r>
  <r>
    <x v="125"/>
    <n v="259984057"/>
    <s v="UsaInd"/>
    <s v="buy"/>
    <n v="0.5"/>
    <n v="29391.79"/>
    <n v="29381.79"/>
    <n v="29591.79"/>
    <d v="2020-02-14T16:11:57"/>
    <n v="29381.73"/>
    <n v="0"/>
    <n v="0"/>
    <n v="-4.6399999999999997"/>
    <n v="126"/>
    <n v="-172.38999999999993"/>
    <n v="827.61000000000013"/>
    <x v="9"/>
    <n v="7"/>
    <d v="1900-01-05T00:00:00"/>
    <n v="16"/>
    <n v="0"/>
    <s v=""/>
    <n v="10"/>
    <n v="200"/>
    <n v="20"/>
    <n v="-1"/>
    <n v="832.25000000000011"/>
    <n v="827.61000000000013"/>
    <d v="2020-02-14T09:23:01"/>
    <n v="867.85"/>
    <n v="0"/>
    <d v="2020-02-14T19:53:47"/>
    <n v="775.01"/>
    <n v="0"/>
    <e v="#N/A"/>
    <n v="-5.575247822168802E-3"/>
    <s v=""/>
    <n v="1052.8399999999999"/>
    <n v="827.61000000000013"/>
    <n v="-0.21392614262376031"/>
    <n v="-10.1"/>
    <s v=""/>
    <n v="-10.1"/>
    <n v="-375.00000000000006"/>
    <n v="0"/>
    <n v="1"/>
    <s v="Non conforme"/>
    <m/>
    <m/>
    <n v="0"/>
    <n v="0"/>
    <n v="0"/>
    <s v="Non"/>
    <s v="Non"/>
    <s v="Non"/>
    <n v="1.0842000000000001"/>
    <n v="16.286690129376268"/>
    <n v="0"/>
    <s v="--"/>
    <s v="Perdant"/>
    <n v="0"/>
    <n v="1"/>
    <m/>
    <n v="29591.79"/>
    <m/>
    <m/>
    <m/>
    <m/>
    <m/>
  </r>
  <r>
    <x v="126"/>
    <n v="259986491"/>
    <s v="UsaInd"/>
    <s v="buy"/>
    <n v="0.5"/>
    <n v="29383.75"/>
    <n v="29373.75"/>
    <n v="29589.31"/>
    <d v="2020-02-14T16:12:39"/>
    <n v="29373.66"/>
    <n v="0"/>
    <n v="0"/>
    <n v="-4.6500000000000004"/>
    <n v="127"/>
    <n v="-177.03999999999994"/>
    <n v="822.96"/>
    <x v="9"/>
    <n v="7"/>
    <d v="1900-01-05T00:00:00"/>
    <n v="16"/>
    <n v="0"/>
    <s v=""/>
    <n v="10"/>
    <n v="205.6"/>
    <n v="20.6"/>
    <n v="-1"/>
    <n v="827.61"/>
    <n v="822.96"/>
    <d v="2020-02-14T09:23:01"/>
    <n v="867.85"/>
    <n v="0"/>
    <d v="2020-02-14T19:53:47"/>
    <n v="775.01"/>
    <n v="0"/>
    <e v="#N/A"/>
    <n v="-5.6185884655815871E-3"/>
    <s v=""/>
    <n v="1052.8399999999999"/>
    <n v="822.96"/>
    <n v="-0.21834276813190978"/>
    <n v="-10.1"/>
    <s v=""/>
    <n v="-10.1"/>
    <n v="-385.10000000000008"/>
    <n v="0"/>
    <n v="1"/>
    <s v="Non conforme"/>
    <m/>
    <m/>
    <n v="0"/>
    <n v="0"/>
    <n v="0"/>
    <s v="Non"/>
    <s v="Non"/>
    <s v="Non"/>
    <n v="1.0842000000000001"/>
    <n v="16.373521413691254"/>
    <n v="0"/>
    <s v="--"/>
    <s v="Perdant"/>
    <n v="0"/>
    <n v="1"/>
    <m/>
    <n v="29589.31"/>
    <m/>
    <m/>
    <m/>
    <m/>
    <m/>
  </r>
  <r>
    <x v="127"/>
    <n v="259986814"/>
    <s v="UsaInd"/>
    <s v="sell"/>
    <n v="0.5"/>
    <n v="29371.58"/>
    <n v="29381.58"/>
    <m/>
    <d v="2020-02-14T16:14:36"/>
    <n v="29381.67"/>
    <n v="0"/>
    <n v="0"/>
    <n v="-4.6500000000000004"/>
    <n v="128"/>
    <n v="-181.68999999999994"/>
    <n v="818.31000000000006"/>
    <x v="9"/>
    <n v="7"/>
    <d v="1900-01-05T00:00:00"/>
    <n v="16"/>
    <n v="0"/>
    <s v=""/>
    <n v="10"/>
    <n v="200"/>
    <n v="20"/>
    <n v="-1"/>
    <n v="822.96"/>
    <n v="818.31000000000006"/>
    <d v="2020-02-14T09:23:01"/>
    <n v="867.85"/>
    <n v="0"/>
    <d v="2020-02-14T19:53:47"/>
    <n v="775.01"/>
    <n v="0"/>
    <e v="#N/A"/>
    <n v="-5.6503353747447953E-3"/>
    <s v=""/>
    <n v="1052.8399999999999"/>
    <n v="818.31000000000006"/>
    <n v="-0.22275939364005914"/>
    <n v="-10.1"/>
    <s v=""/>
    <n v="-10.1"/>
    <n v="-395.2000000000001"/>
    <n v="0"/>
    <n v="1"/>
    <s v="Non conforme"/>
    <m/>
    <m/>
    <n v="0"/>
    <n v="0"/>
    <n v="0"/>
    <s v="Non"/>
    <s v="Non"/>
    <s v="Non"/>
    <n v="1.0842000000000001"/>
    <n v="16.459217488158114"/>
    <n v="0"/>
    <s v="--"/>
    <s v="Perdant"/>
    <n v="0"/>
    <n v="1"/>
    <m/>
    <s v=""/>
    <m/>
    <m/>
    <m/>
    <m/>
    <m/>
  </r>
  <r>
    <x v="128"/>
    <n v="259987332"/>
    <s v="UsaInd"/>
    <s v="sell"/>
    <n v="0.5"/>
    <n v="29389.51"/>
    <n v="29399.51"/>
    <m/>
    <d v="2020-02-14T16:18:29"/>
    <n v="29399.52"/>
    <n v="0"/>
    <n v="0"/>
    <n v="-4.62"/>
    <n v="129"/>
    <n v="-186.30999999999995"/>
    <n v="813.69"/>
    <x v="9"/>
    <n v="7"/>
    <d v="1900-01-05T00:00:00"/>
    <n v="16"/>
    <n v="0"/>
    <s v=""/>
    <n v="10"/>
    <n v="200"/>
    <n v="20"/>
    <n v="-1"/>
    <n v="818.31000000000006"/>
    <n v="813.69"/>
    <d v="2020-02-14T09:23:01"/>
    <n v="867.85"/>
    <n v="0"/>
    <d v="2020-02-14T19:53:47"/>
    <n v="775.01"/>
    <n v="0"/>
    <e v="#N/A"/>
    <n v="-5.6457821607948143E-3"/>
    <s v=""/>
    <n v="1052.8399999999999"/>
    <n v="813.69"/>
    <n v="-0.22714752479009148"/>
    <n v="-10"/>
    <s v=""/>
    <n v="-10"/>
    <n v="-405.2000000000001"/>
    <n v="0"/>
    <n v="1"/>
    <s v="Non conforme"/>
    <m/>
    <m/>
    <n v="0"/>
    <n v="0"/>
    <n v="0"/>
    <s v="Non"/>
    <s v="Non"/>
    <s v="Non"/>
    <n v="1.0842000000000001"/>
    <n v="16.562850745627337"/>
    <n v="0"/>
    <s v="--"/>
    <s v="Perdant"/>
    <n v="0"/>
    <n v="1"/>
    <m/>
    <s v=""/>
    <m/>
    <m/>
    <m/>
    <m/>
    <m/>
  </r>
  <r>
    <x v="129"/>
    <n v="259990956"/>
    <s v="UsaInd"/>
    <s v="buy"/>
    <n v="0.5"/>
    <n v="29429.85"/>
    <n v="29419.85"/>
    <n v="29590.25"/>
    <d v="2020-02-14T16:53:10"/>
    <n v="29419.57"/>
    <n v="0"/>
    <n v="0"/>
    <n v="-4.74"/>
    <n v="130"/>
    <n v="-191.04999999999995"/>
    <n v="808.95"/>
    <x v="9"/>
    <n v="7"/>
    <d v="1900-01-05T00:00:00"/>
    <n v="16"/>
    <n v="0"/>
    <s v=""/>
    <n v="10"/>
    <n v="160.4"/>
    <n v="16"/>
    <n v="-1"/>
    <n v="813.69"/>
    <n v="808.95"/>
    <d v="2020-02-14T09:23:01"/>
    <n v="867.85"/>
    <n v="0"/>
    <d v="2020-02-14T19:53:47"/>
    <n v="775.01"/>
    <n v="0"/>
    <e v="#N/A"/>
    <n v="-5.8253143088891459E-3"/>
    <s v=""/>
    <n v="1052.8399999999999"/>
    <n v="808.95"/>
    <n v="-0.23164963337259215"/>
    <n v="-10.3"/>
    <s v=""/>
    <n v="-10.3"/>
    <n v="-415.50000000000011"/>
    <n v="0"/>
    <n v="1"/>
    <s v="Non conforme"/>
    <m/>
    <m/>
    <n v="0"/>
    <n v="0"/>
    <n v="0"/>
    <s v="Non"/>
    <s v="Non"/>
    <s v="Non"/>
    <n v="1.0842000000000001"/>
    <n v="16.679755155316922"/>
    <n v="0"/>
    <s v="--"/>
    <s v="Perdant"/>
    <n v="0"/>
    <n v="1"/>
    <m/>
    <n v="29590.25"/>
    <m/>
    <m/>
    <m/>
    <m/>
    <m/>
  </r>
  <r>
    <x v="130"/>
    <n v="259991186"/>
    <s v="UsaInd"/>
    <s v="buy"/>
    <n v="0.4"/>
    <n v="29424.67"/>
    <n v="29414.67"/>
    <m/>
    <d v="2020-02-14T17:00:32"/>
    <n v="29414.59"/>
    <n v="0"/>
    <n v="0"/>
    <n v="-3.72"/>
    <n v="131"/>
    <n v="-194.76999999999995"/>
    <n v="805.23"/>
    <x v="9"/>
    <n v="7"/>
    <d v="1900-01-05T00:00:00"/>
    <n v="17"/>
    <n v="0"/>
    <s v=""/>
    <n v="10"/>
    <n v="200"/>
    <n v="20"/>
    <n v="-1"/>
    <n v="808.95"/>
    <n v="805.23"/>
    <d v="2020-02-14T09:23:01"/>
    <n v="867.85"/>
    <n v="0"/>
    <d v="2020-02-14T19:53:47"/>
    <n v="775.01"/>
    <n v="0"/>
    <e v="#N/A"/>
    <n v="-4.5985536806972338E-3"/>
    <s v=""/>
    <n v="1052.8399999999999"/>
    <n v="805.23"/>
    <n v="-0.2351829337791117"/>
    <n v="-10.1"/>
    <s v=""/>
    <n v="-10.1"/>
    <n v="-425.60000000000014"/>
    <n v="0"/>
    <n v="1"/>
    <s v="Non conforme"/>
    <m/>
    <m/>
    <n v="0"/>
    <n v="0"/>
    <n v="0"/>
    <s v="Non"/>
    <s v="Non"/>
    <s v="Non"/>
    <n v="1.0842000000000001"/>
    <n v="13.419629014584904"/>
    <n v="0"/>
    <s v="--"/>
    <s v="Perdant"/>
    <n v="0"/>
    <n v="1"/>
    <m/>
    <s v=""/>
    <m/>
    <m/>
    <m/>
    <m/>
    <m/>
  </r>
  <r>
    <x v="131"/>
    <n v="259992349"/>
    <s v="UsaInd"/>
    <s v="sell"/>
    <n v="0.4"/>
    <n v="29413.55"/>
    <n v="29423.55"/>
    <m/>
    <d v="2020-02-14T17:06:39"/>
    <n v="29403.8"/>
    <n v="0"/>
    <n v="0"/>
    <n v="3.6"/>
    <n v="132"/>
    <n v="-191.16999999999996"/>
    <n v="808.83"/>
    <x v="9"/>
    <n v="7"/>
    <d v="1900-01-05T00:00:00"/>
    <n v="17"/>
    <n v="0"/>
    <s v=""/>
    <n v="10"/>
    <n v="200"/>
    <n v="20"/>
    <n v="1"/>
    <n v="805.23"/>
    <n v="808.83"/>
    <d v="2020-02-14T09:23:01"/>
    <n v="867.85"/>
    <n v="0"/>
    <d v="2020-02-14T19:53:47"/>
    <n v="775.01"/>
    <n v="0"/>
    <e v="#N/A"/>
    <n v="4.470772325919331E-3"/>
    <s v=""/>
    <n v="1052.8399999999999"/>
    <n v="808.83"/>
    <n v="-0.23176361080506047"/>
    <n v="9.8000000000000007"/>
    <n v="9.8000000000000007"/>
    <s v=""/>
    <n v="-415.80000000000013"/>
    <n v="0"/>
    <n v="1"/>
    <s v="Non conforme"/>
    <m/>
    <m/>
    <n v="0"/>
    <n v="0"/>
    <n v="0"/>
    <s v="Non"/>
    <s v="Non"/>
    <s v="Non"/>
    <n v="1.0842000000000001"/>
    <n v="13.47653009357065"/>
    <n v="0"/>
    <s v="+"/>
    <s v="Gagnant"/>
    <n v="1"/>
    <n v="0"/>
    <m/>
    <s v=""/>
    <m/>
    <m/>
    <m/>
    <m/>
    <m/>
  </r>
  <r>
    <x v="132"/>
    <n v="259992975"/>
    <s v="UsaInd"/>
    <s v="buy"/>
    <n v="0.45"/>
    <n v="29403.602220000001"/>
    <n v="29393.599999999999"/>
    <n v="29583.599999999999"/>
    <d v="2020-02-14T17:09:01"/>
    <n v="29393.51"/>
    <n v="0"/>
    <n v="0"/>
    <n v="-4.1900000000000004"/>
    <n v="133"/>
    <n v="-195.35999999999996"/>
    <n v="804.6400000000001"/>
    <x v="9"/>
    <n v="7"/>
    <d v="1900-01-05T00:00:00"/>
    <n v="17"/>
    <n v="0"/>
    <s v=""/>
    <n v="10"/>
    <n v="180"/>
    <n v="18"/>
    <n v="-1"/>
    <n v="808.83000000000015"/>
    <n v="804.6400000000001"/>
    <d v="2020-02-14T09:23:01"/>
    <n v="867.85"/>
    <n v="0"/>
    <d v="2020-02-14T19:53:47"/>
    <n v="775.01"/>
    <n v="0"/>
    <e v="#N/A"/>
    <n v="-5.1803221937861523E-3"/>
    <s v=""/>
    <n v="1052.8399999999999"/>
    <n v="804.6400000000001"/>
    <n v="-0.2357433228220811"/>
    <n v="-10.1"/>
    <s v=""/>
    <n v="-10.1"/>
    <n v="-425.90000000000015"/>
    <n v="0"/>
    <n v="1"/>
    <s v="Non conforme"/>
    <m/>
    <m/>
    <n v="0"/>
    <n v="0"/>
    <n v="0"/>
    <s v="Non"/>
    <s v="Non"/>
    <s v="Non"/>
    <n v="1.0842000000000001"/>
    <n v="15.088511512263082"/>
    <n v="0"/>
    <s v="--"/>
    <s v="Perdant"/>
    <n v="0"/>
    <n v="1"/>
    <m/>
    <n v="29583.599999999999"/>
    <m/>
    <m/>
    <m/>
    <m/>
    <m/>
  </r>
  <r>
    <x v="133"/>
    <n v="259993875"/>
    <s v="UsaInd"/>
    <s v="buy"/>
    <n v="0.45"/>
    <n v="29397.71"/>
    <n v="29387.71"/>
    <n v="29597.71"/>
    <d v="2020-02-14T17:49:35"/>
    <n v="29404.71"/>
    <n v="0"/>
    <n v="0"/>
    <n v="2.91"/>
    <n v="134"/>
    <n v="-192.44999999999996"/>
    <n v="807.55000000000007"/>
    <x v="9"/>
    <n v="7"/>
    <d v="1900-01-05T00:00:00"/>
    <n v="17"/>
    <n v="0"/>
    <s v=""/>
    <n v="10"/>
    <n v="200"/>
    <n v="20"/>
    <n v="0.7"/>
    <n v="804.6400000000001"/>
    <n v="807.55000000000007"/>
    <d v="2020-02-14T09:23:01"/>
    <n v="867.85"/>
    <n v="0"/>
    <d v="2020-02-14T19:53:47"/>
    <n v="775.01"/>
    <n v="0"/>
    <e v="#N/A"/>
    <n v="3.6165241598726983E-3"/>
    <s v=""/>
    <n v="1052.8399999999999"/>
    <n v="807.55000000000007"/>
    <n v="-0.23297937008472314"/>
    <n v="7"/>
    <n v="7"/>
    <s v=""/>
    <n v="-418.90000000000015"/>
    <n v="0"/>
    <n v="1"/>
    <s v="Non conforme"/>
    <m/>
    <m/>
    <n v="0"/>
    <n v="0"/>
    <n v="0"/>
    <s v="Non"/>
    <s v="Non"/>
    <s v="Non"/>
    <n v="1.0842000000000001"/>
    <n v="15.164042535034483"/>
    <n v="0"/>
    <s v="+"/>
    <s v="Gagnant"/>
    <n v="1"/>
    <n v="0"/>
    <m/>
    <n v="29597.71"/>
    <m/>
    <m/>
    <m/>
    <m/>
    <m/>
  </r>
  <r>
    <x v="134"/>
    <n v="259996431"/>
    <s v="UsaInd"/>
    <s v="buy"/>
    <n v="0.45"/>
    <n v="29398.82"/>
    <n v="29392.21"/>
    <m/>
    <d v="2020-02-14T17:53:23"/>
    <n v="29391.67"/>
    <n v="0"/>
    <n v="0"/>
    <n v="-2.97"/>
    <n v="135"/>
    <n v="-195.41999999999996"/>
    <n v="804.58"/>
    <x v="9"/>
    <n v="7"/>
    <d v="1900-01-05T00:00:00"/>
    <n v="17"/>
    <n v="0"/>
    <s v=""/>
    <n v="6.6"/>
    <n v="200"/>
    <n v="30.3"/>
    <n v="-0.7"/>
    <n v="807.55000000000007"/>
    <n v="804.58"/>
    <d v="2020-02-14T09:23:01"/>
    <n v="867.85"/>
    <n v="0"/>
    <d v="2020-02-14T19:53:47"/>
    <n v="775.01"/>
    <n v="0"/>
    <e v="#N/A"/>
    <n v="-3.6777908488638809E-3"/>
    <s v=""/>
    <n v="1052.8399999999999"/>
    <n v="804.58"/>
    <n v="-0.23580031153831527"/>
    <n v="-7.2"/>
    <s v=""/>
    <n v="-7.2"/>
    <n v="-426.10000000000014"/>
    <n v="0"/>
    <n v="1"/>
    <s v="Non conforme"/>
    <m/>
    <m/>
    <n v="0"/>
    <n v="0"/>
    <n v="0"/>
    <s v="Non"/>
    <s v="Non"/>
    <s v="Non"/>
    <n v="1.0842000000000001"/>
    <n v="15.109969529746197"/>
    <n v="0"/>
    <s v="--"/>
    <s v="Perdant"/>
    <n v="0"/>
    <n v="1"/>
    <m/>
    <s v=""/>
    <m/>
    <m/>
    <m/>
    <m/>
    <m/>
  </r>
  <r>
    <x v="135"/>
    <n v="259996559"/>
    <s v="UsaInd"/>
    <s v="buy"/>
    <n v="0.45"/>
    <n v="29395.62"/>
    <n v="29385.62"/>
    <n v="29595.62"/>
    <d v="2020-02-14T18:06:33"/>
    <n v="29384.79"/>
    <n v="0"/>
    <n v="0"/>
    <n v="-4.49"/>
    <n v="136"/>
    <n v="-199.90999999999997"/>
    <n v="800.09"/>
    <x v="9"/>
    <n v="7"/>
    <d v="1900-01-05T00:00:00"/>
    <n v="18"/>
    <n v="0"/>
    <s v=""/>
    <n v="10"/>
    <n v="200"/>
    <n v="20"/>
    <n v="-1.1000000000000001"/>
    <n v="804.58"/>
    <n v="800.09"/>
    <d v="2020-02-14T09:23:01"/>
    <n v="867.85"/>
    <n v="0"/>
    <d v="2020-02-14T19:53:47"/>
    <n v="775.01"/>
    <n v="0"/>
    <e v="#N/A"/>
    <n v="-5.5805513435581407E-3"/>
    <s v=""/>
    <n v="1052.8399999999999"/>
    <n v="800.09"/>
    <n v="-0.24006496713650693"/>
    <n v="-10.8"/>
    <s v=""/>
    <n v="-10.8"/>
    <n v="-436.90000000000015"/>
    <n v="0"/>
    <n v="1"/>
    <s v="Non conforme"/>
    <m/>
    <m/>
    <n v="0"/>
    <n v="0"/>
    <n v="0"/>
    <s v="Non"/>
    <s v="Non"/>
    <s v="Non"/>
    <n v="1.0842000000000001"/>
    <n v="15.164095211802305"/>
    <n v="0"/>
    <s v="--"/>
    <s v="Perdant"/>
    <n v="0"/>
    <n v="1"/>
    <m/>
    <n v="29595.62"/>
    <m/>
    <m/>
    <m/>
    <m/>
    <m/>
  </r>
  <r>
    <x v="136"/>
    <n v="259997243"/>
    <s v="UsaInd"/>
    <s v="sell"/>
    <n v="0.45"/>
    <n v="29383.64"/>
    <n v="29393.64"/>
    <n v="29325.18"/>
    <d v="2020-02-14T18:15:28"/>
    <n v="29393.919999999998"/>
    <n v="0"/>
    <n v="0"/>
    <n v="-4.2699999999999996"/>
    <n v="137"/>
    <n v="-204.17999999999998"/>
    <n v="795.82"/>
    <x v="9"/>
    <n v="7"/>
    <d v="1900-01-05T00:00:00"/>
    <n v="18"/>
    <n v="0"/>
    <s v=""/>
    <n v="10"/>
    <n v="58.5"/>
    <n v="5.9"/>
    <n v="-1"/>
    <n v="800.09"/>
    <n v="795.82"/>
    <d v="2020-02-14T09:23:01"/>
    <n v="867.85"/>
    <n v="0"/>
    <d v="2020-02-14T19:53:47"/>
    <n v="775.01"/>
    <n v="0"/>
    <e v="#N/A"/>
    <n v="-5.3368995987951124E-3"/>
    <s v=""/>
    <n v="1052.8399999999999"/>
    <n v="795.82"/>
    <n v="-0.24412066410850641"/>
    <n v="-10.3"/>
    <s v=""/>
    <n v="-10.3"/>
    <n v="-447.20000000000016"/>
    <n v="0"/>
    <n v="1"/>
    <s v="Non conforme"/>
    <m/>
    <m/>
    <n v="0"/>
    <n v="0"/>
    <n v="0"/>
    <s v="Non"/>
    <s v="Non"/>
    <s v="Non"/>
    <n v="1.0842000000000001"/>
    <n v="15.242979409420755"/>
    <n v="0"/>
    <s v="--"/>
    <s v="Perdant"/>
    <n v="0"/>
    <n v="1"/>
    <m/>
    <n v="29325.18"/>
    <m/>
    <m/>
    <m/>
    <m/>
    <m/>
  </r>
  <r>
    <x v="137"/>
    <n v="259997899"/>
    <s v="UsaInd"/>
    <s v="sell"/>
    <n v="0.45"/>
    <n v="29385.69"/>
    <n v="29395.69"/>
    <m/>
    <d v="2020-02-14T18:35:48"/>
    <n v="29383.91"/>
    <n v="0"/>
    <n v="0"/>
    <n v="0.74"/>
    <n v="138"/>
    <n v="-203.43999999999997"/>
    <n v="796.56000000000006"/>
    <x v="9"/>
    <n v="7"/>
    <d v="1900-01-05T00:00:00"/>
    <n v="18"/>
    <n v="0"/>
    <s v=""/>
    <n v="10"/>
    <n v="200"/>
    <n v="20"/>
    <n v="0.2"/>
    <n v="795.82"/>
    <n v="796.56000000000006"/>
    <d v="2020-02-14T09:23:01"/>
    <n v="867.85"/>
    <n v="0"/>
    <d v="2020-02-14T19:53:47"/>
    <n v="775.01"/>
    <n v="0"/>
    <e v="#N/A"/>
    <n v="9.2985851071851553E-4"/>
    <s v=""/>
    <n v="1052.8399999999999"/>
    <n v="796.56000000000006"/>
    <n v="-0.24341780327495144"/>
    <n v="1.8"/>
    <n v="1.8"/>
    <s v=""/>
    <n v="-445.40000000000015"/>
    <n v="0"/>
    <n v="1"/>
    <s v="Non conforme"/>
    <m/>
    <m/>
    <n v="0"/>
    <n v="0"/>
    <n v="0"/>
    <s v="Non"/>
    <s v="Non"/>
    <s v="Non"/>
    <n v="1.0842000000000001"/>
    <n v="15.325835306298874"/>
    <n v="0"/>
    <s v="+"/>
    <s v="Gagnant"/>
    <n v="1"/>
    <n v="0"/>
    <m/>
    <s v=""/>
    <m/>
    <m/>
    <m/>
    <m/>
    <m/>
  </r>
  <r>
    <x v="138"/>
    <n v="259999343"/>
    <s v="UsaInd"/>
    <s v="buy"/>
    <n v="0.45"/>
    <n v="29383.91"/>
    <n v="29373.91"/>
    <n v="29583.91"/>
    <d v="2020-02-14T18:44:03"/>
    <n v="29373.58"/>
    <n v="0"/>
    <n v="0"/>
    <n v="-4.29"/>
    <n v="139"/>
    <n v="-207.72999999999996"/>
    <n v="792.27"/>
    <x v="9"/>
    <n v="7"/>
    <d v="1900-01-05T00:00:00"/>
    <n v="18"/>
    <n v="0"/>
    <s v=""/>
    <n v="10"/>
    <n v="200"/>
    <n v="20"/>
    <n v="-1"/>
    <n v="796.56"/>
    <n v="792.27"/>
    <d v="2020-02-14T09:23:01"/>
    <n v="867.85"/>
    <n v="0"/>
    <d v="2020-02-14T19:53:47"/>
    <n v="775.01"/>
    <n v="0"/>
    <e v="#N/A"/>
    <n v="-5.3856583308224916E-3"/>
    <s v=""/>
    <n v="1052.8399999999999"/>
    <n v="792.27"/>
    <n v="-0.24749249648569582"/>
    <n v="-10.3"/>
    <s v=""/>
    <n v="-10.3"/>
    <n v="-455.70000000000016"/>
    <n v="0"/>
    <n v="1"/>
    <s v="Non conforme"/>
    <m/>
    <m/>
    <n v="0"/>
    <n v="0"/>
    <n v="0"/>
    <s v="Non"/>
    <s v="Non"/>
    <s v="Non"/>
    <n v="1.0842000000000001"/>
    <n v="15.310670206736782"/>
    <n v="0"/>
    <s v="--"/>
    <s v="Perdant"/>
    <n v="0"/>
    <n v="1"/>
    <m/>
    <n v="29583.91"/>
    <m/>
    <m/>
    <m/>
    <m/>
    <m/>
  </r>
  <r>
    <x v="139"/>
    <n v="259999736"/>
    <s v="UsaInd"/>
    <s v="buy"/>
    <n v="0.45"/>
    <n v="29373.83"/>
    <n v="29363.83"/>
    <n v="29583.83"/>
    <d v="2020-02-14T18:48:36"/>
    <n v="29362.73"/>
    <n v="0"/>
    <n v="0"/>
    <n v="-4.6100000000000003"/>
    <n v="140"/>
    <n v="-212.33999999999997"/>
    <n v="787.66000000000008"/>
    <x v="9"/>
    <n v="7"/>
    <d v="1900-01-05T00:00:00"/>
    <n v="18"/>
    <n v="0"/>
    <s v=""/>
    <n v="10"/>
    <n v="210"/>
    <n v="21"/>
    <n v="-1.1000000000000001"/>
    <n v="792.2700000000001"/>
    <n v="787.66000000000008"/>
    <d v="2020-02-14T09:23:01"/>
    <n v="867.85"/>
    <n v="0"/>
    <d v="2020-02-14T19:53:47"/>
    <n v="775.01"/>
    <n v="0"/>
    <e v="#N/A"/>
    <n v="-5.8187234149974293E-3"/>
    <s v=""/>
    <n v="1052.8399999999999"/>
    <n v="787.66000000000008"/>
    <n v="-0.2518711295163556"/>
    <n v="-11.1"/>
    <s v=""/>
    <n v="-11.1"/>
    <n v="-466.80000000000018"/>
    <n v="0"/>
    <n v="1"/>
    <s v="Non conforme"/>
    <m/>
    <m/>
    <n v="0"/>
    <n v="0"/>
    <n v="0"/>
    <s v="Non"/>
    <s v="Non"/>
    <s v="Non"/>
    <n v="1.0842000000000001"/>
    <n v="15.388294053717956"/>
    <n v="0"/>
    <s v="--"/>
    <s v="Perdant"/>
    <n v="0"/>
    <n v="1"/>
    <m/>
    <n v="29583.83"/>
    <m/>
    <m/>
    <m/>
    <m/>
    <m/>
  </r>
  <r>
    <x v="140"/>
    <n v="260000156"/>
    <s v="UsaInd"/>
    <s v="buy"/>
    <n v="0.45"/>
    <n v="29364.81"/>
    <n v="29354.81"/>
    <n v="29588.7"/>
    <d v="2020-02-14T18:53:33"/>
    <n v="29354.66"/>
    <n v="0"/>
    <n v="0"/>
    <n v="-4.22"/>
    <n v="141"/>
    <n v="-216.55999999999997"/>
    <n v="783.44"/>
    <x v="9"/>
    <n v="7"/>
    <d v="1900-01-05T00:00:00"/>
    <n v="18"/>
    <n v="0"/>
    <s v=""/>
    <n v="10"/>
    <n v="223.9"/>
    <n v="22.4"/>
    <n v="-1"/>
    <n v="787.66000000000008"/>
    <n v="783.44"/>
    <d v="2020-02-14T09:23:01"/>
    <n v="867.85"/>
    <n v="0"/>
    <d v="2020-02-14T19:53:47"/>
    <n v="775.01"/>
    <n v="0"/>
    <e v="#N/A"/>
    <n v="-5.3576416220196873E-3"/>
    <s v=""/>
    <n v="1052.8399999999999"/>
    <n v="783.44"/>
    <n v="-0.25587933589149336"/>
    <n v="-10.199999999999999"/>
    <s v=""/>
    <n v="-10.199999999999999"/>
    <n v="-477.00000000000017"/>
    <n v="0"/>
    <n v="1"/>
    <s v="Non conforme"/>
    <m/>
    <m/>
    <n v="0"/>
    <n v="0"/>
    <n v="0"/>
    <s v="Non"/>
    <s v="Non"/>
    <s v="Non"/>
    <n v="1.0842000000000001"/>
    <n v="15.473605306512612"/>
    <n v="0"/>
    <s v="--"/>
    <s v="Perdant"/>
    <n v="0"/>
    <n v="1"/>
    <m/>
    <n v="29588.7"/>
    <m/>
    <m/>
    <m/>
    <m/>
    <m/>
  </r>
  <r>
    <x v="141"/>
    <n v="260002560"/>
    <s v="UsaInd"/>
    <s v="buy"/>
    <n v="0.45"/>
    <n v="29323.9"/>
    <n v="29313.9"/>
    <m/>
    <d v="2020-02-14T19:53:46"/>
    <n v="29313.75"/>
    <n v="0"/>
    <n v="0"/>
    <n v="-4.21"/>
    <n v="142"/>
    <n v="-220.76999999999998"/>
    <n v="779.23"/>
    <x v="9"/>
    <n v="7"/>
    <d v="1900-01-05T00:00:00"/>
    <n v="19"/>
    <n v="0"/>
    <s v=""/>
    <n v="10"/>
    <n v="200"/>
    <n v="20"/>
    <n v="-1"/>
    <n v="783.44"/>
    <n v="779.23"/>
    <d v="2020-02-14T09:23:01"/>
    <n v="867.85"/>
    <n v="0"/>
    <d v="2020-02-14T19:53:47"/>
    <n v="775.01"/>
    <n v="0"/>
    <e v="#N/A"/>
    <n v="-5.3737363422853516E-3"/>
    <s v=""/>
    <n v="1052.8399999999999"/>
    <n v="779.23"/>
    <n v="-0.25987804414725879"/>
    <n v="-10.199999999999999"/>
    <s v=""/>
    <n v="-10.199999999999999"/>
    <n v="-487.20000000000016"/>
    <n v="0"/>
    <n v="1"/>
    <s v="Non conforme"/>
    <m/>
    <m/>
    <n v="0"/>
    <n v="0"/>
    <n v="0"/>
    <s v="Non"/>
    <s v="Non"/>
    <s v="Non"/>
    <n v="1.0842000000000001"/>
    <n v="15.53528050004207"/>
    <n v="0"/>
    <s v="--"/>
    <s v="Perdant"/>
    <n v="0"/>
    <n v="1"/>
    <m/>
    <s v=""/>
    <m/>
    <m/>
    <m/>
    <m/>
    <m/>
  </r>
  <r>
    <x v="142"/>
    <n v="260004073"/>
    <s v="UsaInd"/>
    <s v="buy"/>
    <n v="0.45"/>
    <n v="29317.96"/>
    <n v="29307.96"/>
    <m/>
    <d v="2020-02-14T19:57:07"/>
    <n v="29307.78"/>
    <n v="0"/>
    <n v="0"/>
    <n v="-4.22"/>
    <n v="143"/>
    <n v="-224.98999999999998"/>
    <n v="775.01"/>
    <x v="9"/>
    <n v="7"/>
    <d v="1900-01-05T00:00:00"/>
    <n v="19"/>
    <n v="0"/>
    <s v=""/>
    <n v="10"/>
    <n v="200"/>
    <n v="20"/>
    <n v="-1"/>
    <n v="779.23"/>
    <n v="775.01"/>
    <d v="2020-02-14T09:23:01"/>
    <n v="867.85"/>
    <n v="0"/>
    <d v="2020-02-14T19:53:47"/>
    <n v="775.01"/>
    <n v="775.01"/>
    <n v="775.01"/>
    <n v="-5.4156025820361478E-3"/>
    <s v=""/>
    <n v="1052.8399999999999"/>
    <n v="775.01"/>
    <n v="-0.26388625052239656"/>
    <n v="-10.199999999999999"/>
    <s v=""/>
    <n v="-10.199999999999999"/>
    <n v="-497.40000000000015"/>
    <n v="0"/>
    <n v="1"/>
    <s v="Non conforme"/>
    <m/>
    <m/>
    <n v="0"/>
    <n v="0"/>
    <n v="0"/>
    <s v="Non"/>
    <s v="Non"/>
    <s v="Non"/>
    <n v="1.0842000000000001"/>
    <n v="15.616050129829965"/>
    <n v="0"/>
    <s v="--"/>
    <s v="Perdant"/>
    <n v="0"/>
    <n v="1"/>
    <m/>
    <s v=""/>
    <m/>
    <m/>
    <m/>
    <m/>
    <m/>
  </r>
  <r>
    <x v="143"/>
    <n v="260008223"/>
    <s v="UsaInd"/>
    <s v="buy"/>
    <n v="0.45"/>
    <n v="29351.15"/>
    <n v="29352.65"/>
    <n v="29590.13"/>
    <d v="2020-02-17T08:23:45"/>
    <n v="29460.82"/>
    <n v="0"/>
    <n v="-3.69"/>
    <n v="45.53"/>
    <n v="144"/>
    <n v="-183.14999999999998"/>
    <n v="816.85"/>
    <x v="10"/>
    <n v="8"/>
    <d v="1900-01-01T00:00:00"/>
    <n v="8"/>
    <n v="1"/>
    <n v="2"/>
    <n v="-1.5"/>
    <n v="239"/>
    <n v="23.9"/>
    <n v="11"/>
    <n v="775.0100000000001"/>
    <n v="816.85"/>
    <d v="2020-02-14T21:38:27"/>
    <n v="775.0100000000001"/>
    <n v="775.0100000000001"/>
    <d v="2020-02-17T10:08:13"/>
    <n v="817.34"/>
    <n v="0"/>
    <e v="#N/A"/>
    <n v="5.3986400175481494E-2"/>
    <n v="5.4618650081934325E-2"/>
    <n v="1052.8399999999999"/>
    <n v="816.85"/>
    <n v="-0.22414611906842441"/>
    <n v="109.7"/>
    <n v="109.7"/>
    <s v=""/>
    <n v="-387.70000000000016"/>
    <n v="0"/>
    <n v="1"/>
    <s v="Non conforme"/>
    <m/>
    <m/>
    <n v="0"/>
    <n v="0"/>
    <n v="0"/>
    <s v="Non"/>
    <s v="Oui"/>
    <s v="Non"/>
    <n v="1.0834999999999999"/>
    <n v="15.729010912862153"/>
    <n v="0"/>
    <s v="++"/>
    <s v="Gagnant"/>
    <n v="1"/>
    <n v="0"/>
    <m/>
    <n v="29590.13"/>
    <m/>
    <m/>
    <m/>
    <m/>
    <m/>
  </r>
  <r>
    <x v="144"/>
    <n v="260027469"/>
    <s v="UsaInd"/>
    <s v="buy"/>
    <n v="0.45"/>
    <n v="29446.05"/>
    <n v="29447.55"/>
    <n v="29526.05"/>
    <d v="2020-02-17T11:38:45"/>
    <n v="29447.22"/>
    <n v="0"/>
    <n v="0"/>
    <n v="0.49"/>
    <n v="145"/>
    <n v="-182.65999999999997"/>
    <n v="817.34"/>
    <x v="10"/>
    <n v="8"/>
    <d v="1900-01-01T00:00:00"/>
    <n v="11"/>
    <n v="0"/>
    <s v=""/>
    <n v="-1.5"/>
    <n v="80"/>
    <n v="8"/>
    <n v="0.1"/>
    <n v="816.85"/>
    <n v="817.34"/>
    <d v="2020-02-14T21:38:27"/>
    <n v="775.0100000000001"/>
    <n v="0"/>
    <d v="2020-02-17T10:08:13"/>
    <n v="817.34"/>
    <n v="817.34"/>
    <n v="817.34"/>
    <n v="5.9986533635307472E-4"/>
    <s v=""/>
    <n v="1052.8399999999999"/>
    <n v="817.34"/>
    <n v="-0.22368071121917854"/>
    <n v="1.2"/>
    <n v="1.2"/>
    <s v=""/>
    <n v="-386.50000000000017"/>
    <n v="0"/>
    <n v="1"/>
    <s v="Non conforme"/>
    <m/>
    <m/>
    <n v="0"/>
    <n v="0"/>
    <n v="0"/>
    <s v="Non"/>
    <s v="Oui"/>
    <s v="Non"/>
    <n v="1.0834999999999999"/>
    <n v="14.971603946740265"/>
    <n v="0"/>
    <s v="0"/>
    <s v="Gagnant"/>
    <n v="1"/>
    <n v="0"/>
    <m/>
    <n v="29526.05"/>
    <m/>
    <m/>
    <m/>
    <m/>
    <m/>
  </r>
  <r>
    <x v="145"/>
    <n v="260150049"/>
    <s v="UsaInd"/>
    <s v="buy"/>
    <n v="0.45"/>
    <n v="29292.39"/>
    <n v="29282.39"/>
    <n v="29392.39"/>
    <d v="2020-02-18T16:10:39"/>
    <n v="29293.05"/>
    <n v="0"/>
    <n v="0"/>
    <n v="0.28000000000000003"/>
    <n v="146"/>
    <n v="-182.37999999999997"/>
    <n v="817.62"/>
    <x v="11"/>
    <n v="8"/>
    <d v="1900-01-02T00:00:00"/>
    <n v="16"/>
    <n v="1"/>
    <n v="9"/>
    <n v="10"/>
    <n v="100"/>
    <n v="10"/>
    <n v="0.1"/>
    <n v="817.34"/>
    <n v="817.62"/>
    <d v="2020-02-18T16:07:09"/>
    <n v="817.34"/>
    <n v="817.34"/>
    <d v="2020-02-18T18:02:17"/>
    <n v="831.72"/>
    <n v="0"/>
    <e v="#N/A"/>
    <n v="3.4257469351796403E-4"/>
    <n v="1.7593657474245718E-2"/>
    <n v="1052.8399999999999"/>
    <n v="817.62"/>
    <n v="-0.2234147638767523"/>
    <n v="0.7"/>
    <n v="0.7"/>
    <s v=""/>
    <n v="-385.80000000000018"/>
    <n v="0"/>
    <n v="1"/>
    <s v="Non conforme"/>
    <m/>
    <m/>
    <n v="0"/>
    <n v="0"/>
    <n v="0"/>
    <s v="Non"/>
    <s v="Non"/>
    <s v="Non"/>
    <n v="1.0815999999999999"/>
    <n v="14.910695091256484"/>
    <n v="0"/>
    <s v="0"/>
    <s v="Gagnant"/>
    <n v="1"/>
    <n v="0"/>
    <m/>
    <n v="29392.39"/>
    <m/>
    <m/>
    <m/>
    <m/>
    <m/>
  </r>
  <r>
    <x v="146"/>
    <n v="260153963"/>
    <s v="UsaInd"/>
    <s v="sell"/>
    <n v="0.45"/>
    <n v="29210.14"/>
    <n v="29208.639999999999"/>
    <n v="29145.14"/>
    <d v="2020-02-18T16:37:21"/>
    <n v="29211.1"/>
    <n v="0"/>
    <n v="0"/>
    <n v="-0.4"/>
    <n v="147"/>
    <n v="-182.77999999999997"/>
    <n v="817.22"/>
    <x v="11"/>
    <n v="8"/>
    <d v="1900-01-02T00:00:00"/>
    <n v="16"/>
    <n v="0"/>
    <s v=""/>
    <n v="-1.5"/>
    <n v="65"/>
    <n v="6.5"/>
    <n v="0"/>
    <n v="817.62"/>
    <n v="817.22"/>
    <d v="2020-02-18T16:07:09"/>
    <n v="817.34"/>
    <n v="0"/>
    <d v="2020-02-18T18:02:17"/>
    <n v="831.72"/>
    <n v="0"/>
    <e v="#N/A"/>
    <n v="-4.8922482326750475E-4"/>
    <s v=""/>
    <n v="1052.8399999999999"/>
    <n v="817.22"/>
    <n v="-0.22379468865164687"/>
    <n v="-1"/>
    <s v=""/>
    <n v="-1"/>
    <n v="-386.80000000000018"/>
    <n v="0"/>
    <n v="1"/>
    <s v="Non conforme"/>
    <m/>
    <m/>
    <n v="0"/>
    <n v="0"/>
    <n v="0"/>
    <s v="Non"/>
    <s v="Oui"/>
    <s v="Non"/>
    <n v="1.0815999999999999"/>
    <n v="14.863735462749512"/>
    <n v="0"/>
    <s v="0"/>
    <s v="Perdant"/>
    <n v="0"/>
    <n v="1"/>
    <m/>
    <n v="29145.14"/>
    <m/>
    <m/>
    <m/>
    <m/>
    <m/>
  </r>
  <r>
    <x v="147"/>
    <n v="260154630"/>
    <s v="UsaInd"/>
    <s v="sell"/>
    <n v="0.45"/>
    <n v="29216.14"/>
    <n v="29214.639999999999"/>
    <n v="29146.14"/>
    <d v="2020-02-18T16:44:06"/>
    <n v="29216.13"/>
    <n v="0"/>
    <n v="0"/>
    <n v="0"/>
    <n v="148"/>
    <n v="-182.77999999999997"/>
    <n v="817.22"/>
    <x v="11"/>
    <n v="8"/>
    <d v="1900-01-02T00:00:00"/>
    <n v="16"/>
    <n v="0"/>
    <s v=""/>
    <n v="-1.5"/>
    <n v="70"/>
    <n v="7"/>
    <n v="0"/>
    <n v="817.22"/>
    <n v="817.22"/>
    <d v="2020-02-18T16:07:09"/>
    <n v="817.34"/>
    <n v="0"/>
    <d v="2020-02-18T18:02:17"/>
    <n v="831.72"/>
    <n v="0"/>
    <e v="#N/A"/>
    <n v="0"/>
    <s v=""/>
    <n v="1052.8399999999999"/>
    <n v="817.22"/>
    <n v="-0.22379468865164687"/>
    <n v="0"/>
    <s v=""/>
    <s v=""/>
    <n v="-386.80000000000018"/>
    <n v="0"/>
    <n v="1"/>
    <s v="Non conforme"/>
    <m/>
    <m/>
    <n v="0"/>
    <n v="0"/>
    <n v="0"/>
    <s v="Non"/>
    <s v="Oui"/>
    <s v="Non"/>
    <n v="1.0815999999999999"/>
    <n v="14.874065356731853"/>
    <n v="0"/>
    <s v="0"/>
    <s v="Flat"/>
    <n v="0"/>
    <n v="0"/>
    <m/>
    <n v="29146.14"/>
    <m/>
    <m/>
    <m/>
    <m/>
    <m/>
  </r>
  <r>
    <x v="148"/>
    <n v="260161039"/>
    <s v="UsaInd"/>
    <s v="buy"/>
    <n v="0.45"/>
    <n v="29145.47"/>
    <n v="29135.4"/>
    <m/>
    <d v="2020-02-18T17:28:27"/>
    <n v="29135.18"/>
    <n v="0"/>
    <n v="0"/>
    <n v="-4.28"/>
    <n v="149"/>
    <n v="-187.05999999999997"/>
    <n v="812.94"/>
    <x v="11"/>
    <n v="8"/>
    <d v="1900-01-02T00:00:00"/>
    <n v="17"/>
    <n v="0"/>
    <s v=""/>
    <n v="10.1"/>
    <n v="200"/>
    <n v="19.8"/>
    <n v="-1"/>
    <n v="817.22"/>
    <n v="812.94"/>
    <d v="2020-02-18T16:07:09"/>
    <n v="817.34"/>
    <n v="0"/>
    <d v="2020-02-18T18:02:17"/>
    <n v="831.72"/>
    <n v="0"/>
    <e v="#N/A"/>
    <n v="-5.2372678103815035E-3"/>
    <s v=""/>
    <n v="1052.8399999999999"/>
    <n v="812.94"/>
    <n v="-0.2278598837430188"/>
    <n v="-10.3"/>
    <s v=""/>
    <n v="-10.3"/>
    <n v="-397.10000000000019"/>
    <n v="0"/>
    <n v="1"/>
    <s v="Non conforme"/>
    <m/>
    <m/>
    <n v="0"/>
    <n v="0"/>
    <n v="0"/>
    <s v="Non"/>
    <s v="Non"/>
    <s v="Non"/>
    <n v="1.0815999999999999"/>
    <n v="14.838086948949023"/>
    <n v="0"/>
    <s v="--"/>
    <s v="Perdant"/>
    <n v="0"/>
    <n v="1"/>
    <m/>
    <s v=""/>
    <m/>
    <m/>
    <m/>
    <m/>
    <m/>
  </r>
  <r>
    <x v="149"/>
    <n v="260161059"/>
    <s v="UsaInd"/>
    <s v="buy"/>
    <n v="0.45"/>
    <n v="29135.45"/>
    <n v="29125.45"/>
    <m/>
    <d v="2020-02-18T17:29:28"/>
    <n v="29125.31"/>
    <n v="0"/>
    <n v="0"/>
    <n v="-4.22"/>
    <n v="150"/>
    <n v="-191.27999999999997"/>
    <n v="808.72"/>
    <x v="11"/>
    <n v="8"/>
    <d v="1900-01-02T00:00:00"/>
    <n v="17"/>
    <n v="0"/>
    <s v=""/>
    <n v="10"/>
    <n v="200"/>
    <n v="20"/>
    <n v="-1"/>
    <n v="812.94"/>
    <n v="808.72"/>
    <d v="2020-02-18T16:07:09"/>
    <n v="817.34"/>
    <n v="0"/>
    <d v="2020-02-18T18:02:17"/>
    <n v="831.72"/>
    <n v="0"/>
    <e v="#N/A"/>
    <n v="-5.1910350087337647E-3"/>
    <s v=""/>
    <n v="1052.8399999999999"/>
    <n v="808.72"/>
    <n v="-0.23186809011815657"/>
    <n v="-10.1"/>
    <s v=""/>
    <n v="-10.1"/>
    <n v="-407.20000000000022"/>
    <n v="0"/>
    <n v="1"/>
    <s v="Non conforme"/>
    <m/>
    <m/>
    <n v="0"/>
    <n v="0"/>
    <n v="0"/>
    <s v="Non"/>
    <s v="Non"/>
    <s v="Non"/>
    <n v="1.0815999999999999"/>
    <n v="14.911079037143729"/>
    <n v="0"/>
    <s v="--"/>
    <s v="Perdant"/>
    <n v="0"/>
    <n v="1"/>
    <m/>
    <s v=""/>
    <m/>
    <m/>
    <m/>
    <m/>
    <m/>
  </r>
  <r>
    <x v="150"/>
    <n v="260162323"/>
    <s v="UsaInd"/>
    <s v="sell"/>
    <n v="0.45"/>
    <n v="29132.2"/>
    <n v="29130.7"/>
    <n v="29057.200000000001"/>
    <d v="2020-02-18T17:50:24"/>
    <n v="29131.56"/>
    <n v="0"/>
    <n v="0"/>
    <n v="0.27"/>
    <n v="151"/>
    <n v="-191.00999999999996"/>
    <n v="808.99"/>
    <x v="11"/>
    <n v="8"/>
    <d v="1900-01-02T00:00:00"/>
    <n v="17"/>
    <n v="0"/>
    <s v=""/>
    <n v="-1.5"/>
    <n v="75"/>
    <n v="7.5"/>
    <n v="0.1"/>
    <n v="808.72"/>
    <n v="808.99"/>
    <d v="2020-02-18T16:07:09"/>
    <n v="817.34"/>
    <n v="0"/>
    <d v="2020-02-18T18:02:17"/>
    <n v="831.72"/>
    <n v="0"/>
    <e v="#N/A"/>
    <n v="3.3386091601540931E-4"/>
    <s v=""/>
    <n v="1052.8399999999999"/>
    <n v="808.99"/>
    <n v="-0.23161164089510267"/>
    <n v="0.6"/>
    <n v="0.6"/>
    <s v=""/>
    <n v="-406.60000000000019"/>
    <n v="0"/>
    <n v="1"/>
    <s v="Non conforme"/>
    <m/>
    <m/>
    <n v="0"/>
    <n v="0"/>
    <n v="0"/>
    <s v="Non"/>
    <s v="Oui"/>
    <s v="Non"/>
    <n v="1.0815999999999999"/>
    <n v="14.987214893899104"/>
    <n v="0"/>
    <s v="0"/>
    <s v="Gagnant"/>
    <n v="1"/>
    <n v="0"/>
    <m/>
    <n v="29057.200000000001"/>
    <m/>
    <m/>
    <m/>
    <m/>
    <m/>
  </r>
  <r>
    <x v="151"/>
    <n v="260163564"/>
    <s v="UsaInd"/>
    <s v="buy"/>
    <n v="0.45"/>
    <n v="29133.42"/>
    <n v="29123.42"/>
    <n v="29163.42"/>
    <d v="2020-02-18T17:56:33"/>
    <n v="29123.35"/>
    <n v="0"/>
    <n v="0"/>
    <n v="-4.1900000000000004"/>
    <n v="152"/>
    <n v="-195.19999999999996"/>
    <n v="804.80000000000007"/>
    <x v="11"/>
    <n v="8"/>
    <d v="1900-01-02T00:00:00"/>
    <n v="17"/>
    <n v="0"/>
    <s v=""/>
    <n v="10"/>
    <n v="30"/>
    <n v="3"/>
    <n v="-1"/>
    <n v="808.99000000000012"/>
    <n v="804.80000000000007"/>
    <d v="2020-02-18T16:07:09"/>
    <n v="817.34"/>
    <n v="0"/>
    <d v="2020-02-18T18:02:17"/>
    <n v="831.72"/>
    <n v="0"/>
    <e v="#N/A"/>
    <n v="-5.1792976427397792E-3"/>
    <s v=""/>
    <n v="1052.8399999999999"/>
    <n v="804.80000000000007"/>
    <n v="-0.2355913529121233"/>
    <n v="-10.1"/>
    <s v=""/>
    <n v="-10.1"/>
    <n v="-416.70000000000022"/>
    <n v="0"/>
    <n v="1"/>
    <s v="Non conforme"/>
    <m/>
    <m/>
    <n v="0"/>
    <n v="0"/>
    <n v="0"/>
    <s v="Non"/>
    <s v="Non"/>
    <s v="Non"/>
    <n v="1.0815999999999999"/>
    <n v="14.982840344571661"/>
    <n v="0"/>
    <s v="--"/>
    <s v="Perdant"/>
    <n v="0"/>
    <n v="1"/>
    <m/>
    <n v="29163.42"/>
    <m/>
    <m/>
    <m/>
    <m/>
    <m/>
  </r>
  <r>
    <x v="152"/>
    <n v="260163941"/>
    <s v="UsaInd"/>
    <s v="sell"/>
    <n v="0.45"/>
    <n v="29123.279999999999"/>
    <n v="29133.279999999999"/>
    <n v="29058.28"/>
    <d v="2020-02-18T18:02:16"/>
    <n v="29130.47"/>
    <n v="0"/>
    <n v="0"/>
    <n v="-3"/>
    <n v="153"/>
    <n v="-198.19999999999996"/>
    <n v="801.80000000000007"/>
    <x v="11"/>
    <n v="8"/>
    <d v="1900-01-02T00:00:00"/>
    <n v="18"/>
    <n v="0"/>
    <s v=""/>
    <n v="10"/>
    <n v="65"/>
    <n v="6.5"/>
    <n v="-0.7"/>
    <n v="804.80000000000007"/>
    <n v="801.80000000000007"/>
    <d v="2020-02-18T16:07:09"/>
    <n v="817.34"/>
    <n v="0"/>
    <d v="2020-02-18T18:02:17"/>
    <n v="831.72"/>
    <n v="0"/>
    <e v="#N/A"/>
    <n v="-3.7276341948310138E-3"/>
    <s v=""/>
    <n v="1052.8399999999999"/>
    <n v="801.80000000000007"/>
    <n v="-0.23844078872383256"/>
    <n v="-7.2"/>
    <s v=""/>
    <n v="-7.2"/>
    <n v="-423.9000000000002"/>
    <n v="0"/>
    <n v="1"/>
    <s v="Non conforme"/>
    <m/>
    <m/>
    <n v="0"/>
    <n v="0"/>
    <n v="0"/>
    <s v="Non"/>
    <s v="Non"/>
    <s v="Non"/>
    <n v="1.0815999999999999"/>
    <n v="15.055602957697602"/>
    <n v="0"/>
    <s v="--"/>
    <s v="Perdant"/>
    <n v="0"/>
    <n v="1"/>
    <m/>
    <n v="29058.28"/>
    <m/>
    <m/>
    <m/>
    <m/>
    <m/>
  </r>
  <r>
    <x v="153"/>
    <n v="260164524"/>
    <s v="UsaInd"/>
    <s v="buy"/>
    <n v="0.45"/>
    <n v="29130.47"/>
    <n v="29120.47"/>
    <n v="29210.47"/>
    <d v="2020-02-18T19:06:59"/>
    <n v="29202.29"/>
    <n v="0"/>
    <n v="0"/>
    <n v="29.92"/>
    <n v="154"/>
    <n v="-168.27999999999997"/>
    <n v="831.72"/>
    <x v="11"/>
    <n v="8"/>
    <d v="1900-01-02T00:00:00"/>
    <n v="19"/>
    <n v="0"/>
    <s v=""/>
    <n v="10"/>
    <n v="80"/>
    <n v="8"/>
    <n v="7.2"/>
    <n v="801.80000000000007"/>
    <n v="831.72"/>
    <d v="2020-02-18T16:07:09"/>
    <n v="817.34"/>
    <n v="0"/>
    <d v="2020-02-18T18:02:17"/>
    <n v="831.72"/>
    <n v="831.72"/>
    <n v="831.72"/>
    <n v="3.731603891244694E-2"/>
    <s v=""/>
    <n v="1052.8399999999999"/>
    <n v="831.72"/>
    <n v="-0.21002241556171874"/>
    <n v="71.8"/>
    <n v="71.8"/>
    <s v=""/>
    <n v="-352.10000000000019"/>
    <n v="1"/>
    <n v="0"/>
    <s v="Conforme"/>
    <s v="Rebond"/>
    <m/>
    <n v="1"/>
    <n v="1"/>
    <n v="1"/>
    <s v="Non"/>
    <s v="Non"/>
    <s v="Non"/>
    <n v="1.0815999999999999"/>
    <n v="15.115665579922986"/>
    <n v="10"/>
    <s v="++"/>
    <s v="Gagnant"/>
    <n v="1"/>
    <n v="0"/>
    <m/>
    <n v="29210.47"/>
    <m/>
    <m/>
    <m/>
    <m/>
    <m/>
  </r>
  <r>
    <x v="154"/>
    <m/>
    <m/>
    <m/>
    <m/>
    <m/>
    <m/>
    <m/>
    <d v="2020-02-19T23:59:59"/>
    <m/>
    <m/>
    <m/>
    <m/>
    <s v=""/>
    <n v="-168.27999999999997"/>
    <n v="801.80000000000007"/>
    <x v="12"/>
    <n v="8"/>
    <d v="1900-01-03T00:00:00"/>
    <n v="23"/>
    <s v=""/>
    <s v=""/>
    <s v=""/>
    <s v=""/>
    <s v=""/>
    <s v=""/>
    <n v="801.80000000000007"/>
    <n v="831.72"/>
    <s v=""/>
    <n v="801.80000000000007"/>
    <n v="801.80000000000007"/>
    <s v=""/>
    <n v="831.72"/>
    <n v="831.72"/>
    <n v="831.72"/>
    <s v=""/>
    <s v=""/>
    <s v=""/>
    <s v=""/>
    <s v=""/>
    <s v=""/>
    <s v=""/>
    <s v=""/>
    <n v="-352.10000000000019"/>
    <s v=""/>
    <s v=""/>
    <m/>
    <m/>
    <m/>
    <m/>
    <m/>
    <m/>
    <s v="Sans objet"/>
    <s v="Sans objet"/>
    <s v="Sans objet"/>
    <n v="1.08"/>
    <s v=""/>
    <s v=""/>
    <s v=""/>
    <s v=""/>
    <s v=""/>
    <s v=""/>
    <m/>
    <s v=""/>
    <m/>
    <m/>
    <m/>
    <m/>
    <m/>
  </r>
  <r>
    <x v="155"/>
    <n v="260322204"/>
    <s v="UsaInd"/>
    <s v="buy"/>
    <n v="0.45"/>
    <n v="29274.45"/>
    <n v="29275.95"/>
    <n v="29329.45"/>
    <d v="2020-02-20T15:37:08"/>
    <n v="29275.39"/>
    <n v="0"/>
    <n v="0"/>
    <n v="0.39"/>
    <n v="156"/>
    <n v="-167.89"/>
    <n v="832.11"/>
    <x v="13"/>
    <n v="8"/>
    <d v="1900-01-04T00:00:00"/>
    <n v="15"/>
    <n v="1"/>
    <n v="2"/>
    <n v="-1.5"/>
    <n v="55"/>
    <n v="5.5"/>
    <n v="0.1"/>
    <n v="831.72"/>
    <n v="832.11"/>
    <d v="2020-02-20T15:04:41"/>
    <n v="831.72"/>
    <n v="831.72"/>
    <d v="2020-02-20T18:10:14"/>
    <n v="855.32"/>
    <n v="0"/>
    <e v="#N/A"/>
    <n v="4.6890780551145378E-4"/>
    <n v="2.8374933871976173E-2"/>
    <n v="832.11"/>
    <n v="832.11"/>
    <n v="0"/>
    <n v="0.9"/>
    <n v="0.9"/>
    <s v=""/>
    <n v="-351.20000000000022"/>
    <n v="1"/>
    <n v="0"/>
    <s v="Conforme"/>
    <s v="Rebond"/>
    <s v="Double "/>
    <n v="1"/>
    <n v="1"/>
    <n v="0"/>
    <s v="Non"/>
    <s v="Oui"/>
    <s v="Non"/>
    <n v="1.079"/>
    <n v="14.679209496387601"/>
    <n v="7"/>
    <s v="0"/>
    <s v="Gagnant"/>
    <n v="1"/>
    <n v="0"/>
    <n v="29270.97"/>
    <n v="29329.45"/>
    <s v="Dommage le signal est donné juste avant l'ouverture. Je vais suivre le plan à la lettre mais je risque de me faire taper le SL ou le BE"/>
    <s v="Neutre"/>
    <s v="Haussière"/>
    <s v="Comme prévu BE tapé et TP théorique touché. Mais plan respecté."/>
    <s v="V4.1"/>
  </r>
  <r>
    <x v="156"/>
    <n v="260357541"/>
    <s v="UsaInd"/>
    <s v="buy"/>
    <n v="0.45"/>
    <n v="29032.66"/>
    <n v="29034.16"/>
    <n v="29132.66"/>
    <d v="2020-02-20T18:15:00"/>
    <n v="29088.37"/>
    <n v="0"/>
    <n v="0"/>
    <n v="23.21"/>
    <n v="157"/>
    <n v="-144.67999999999998"/>
    <n v="855.32"/>
    <x v="13"/>
    <n v="8"/>
    <d v="1900-01-04T00:00:00"/>
    <n v="18"/>
    <n v="0"/>
    <s v=""/>
    <n v="-1.5"/>
    <n v="100"/>
    <n v="10"/>
    <n v="5.6"/>
    <n v="832.11"/>
    <n v="855.32"/>
    <d v="2020-02-20T15:04:41"/>
    <n v="831.72"/>
    <n v="0"/>
    <d v="2020-02-20T18:10:14"/>
    <n v="855.32"/>
    <n v="855.32"/>
    <n v="855.32"/>
    <n v="2.7892946845969928E-2"/>
    <s v=""/>
    <n v="855.32"/>
    <n v="832.11"/>
    <s v=""/>
    <n v="55.7"/>
    <n v="55.7"/>
    <s v=""/>
    <n v="-295.50000000000023"/>
    <n v="1"/>
    <n v="0"/>
    <s v="Conforme"/>
    <s v="Rebond"/>
    <s v="Double "/>
    <n v="0"/>
    <n v="1"/>
    <n v="0"/>
    <s v="Non"/>
    <s v="Oui"/>
    <s v="Non"/>
    <n v="1.079"/>
    <n v="14.551144583492311"/>
    <n v="4"/>
    <s v="+"/>
    <s v="Gagnant"/>
    <n v="1"/>
    <n v="0"/>
    <n v="29013.53"/>
    <n v="29132.66"/>
    <s v="Enorme chute, grosse meche sur la ZAP, je ne suis pas sûr que mon plan puisse résister à ce gros mouvement."/>
    <s v="Surprise"/>
    <s v="Haussière"/>
    <s v="J'ai préféré couper sur le haut d'un zig-zag. La chute était vraiment énorme (-400 pts en 30 minutes) et on était sur la zone sensible de 29000."/>
    <s v="V4.1"/>
  </r>
  <r>
    <x v="157"/>
    <n v="260390997"/>
    <s v="UsaInd"/>
    <s v="buy"/>
    <n v="0.45"/>
    <n v="29021.73"/>
    <n v="29011.73"/>
    <n v="29067.8"/>
    <d v="2020-02-21T08:42:56"/>
    <n v="29022.75"/>
    <n v="0"/>
    <n v="0"/>
    <n v="0.43"/>
    <n v="158"/>
    <n v="-144.24999999999997"/>
    <n v="855.75"/>
    <x v="14"/>
    <n v="8"/>
    <d v="1900-01-05T00:00:00"/>
    <n v="8"/>
    <n v="1"/>
    <n v="1"/>
    <n v="10"/>
    <n v="46.1"/>
    <n v="4.5999999999999996"/>
    <n v="0.1"/>
    <n v="855.32"/>
    <n v="855.75"/>
    <d v="2020-02-21T08:34:36"/>
    <n v="855.32"/>
    <n v="855.32"/>
    <d v="2020-02-21T08:34:36"/>
    <n v="855.75"/>
    <n v="855.75"/>
    <n v="855.75"/>
    <n v="5.0273581817325671E-4"/>
    <n v="5.0273581817325671E-4"/>
    <n v="855.75"/>
    <n v="855.32"/>
    <s v=""/>
    <n v="1"/>
    <n v="1"/>
    <s v=""/>
    <n v="-294.50000000000023"/>
    <n v="1"/>
    <n v="0"/>
    <s v="Conforme"/>
    <s v="Rebond"/>
    <s v="Double "/>
    <n v="0"/>
    <n v="1"/>
    <n v="1"/>
    <s v="Non"/>
    <s v="Non"/>
    <s v="Non"/>
    <n v="1.079"/>
    <n v="14.150954650860555"/>
    <n v="7"/>
    <s v="0"/>
    <s v="Gagnant"/>
    <n v="1"/>
    <n v="0"/>
    <n v="29019.88"/>
    <n v="29067.8"/>
    <m/>
    <s v="Neutre"/>
    <s v="Haussière"/>
    <s v="Je venais de revoir mes ZIVIs et ZAPs, je me suis aperçu d'une erreur et j'ai cloturé dès que je m'en suis rendu compte."/>
    <s v="V4.1"/>
  </r>
</pivotCacheRecords>
</file>

<file path=xl/pivotCache/pivotCacheRecords2.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158">
  <r>
    <x v="0"/>
    <n v="259349734"/>
    <x v="0"/>
    <s v="sell"/>
    <n v="0.5"/>
    <n v="28372.38"/>
    <n v="28370.880000000001"/>
    <n v="28232.38"/>
    <x v="0"/>
    <n v="28371.46"/>
    <n v="0"/>
    <n v="0"/>
    <n v="0.42"/>
    <n v="1"/>
    <n v="0.42"/>
    <n v="1000.42"/>
    <x v="0"/>
    <x v="0"/>
    <d v="1900-01-01T00:00:00"/>
    <n v="9"/>
    <n v="1"/>
    <n v="5"/>
    <n v="-1.5"/>
    <n v="140"/>
    <n v="14"/>
    <n v="0.1"/>
    <n v="1000"/>
    <n v="1000.42"/>
    <d v="2020-02-03T09:41:34"/>
    <n v="1000"/>
    <n v="1000"/>
    <d v="2020-02-03T16:08:49"/>
    <n v="1010.03"/>
    <n v="0"/>
    <e v="#N/A"/>
    <n v="4.1999999999995909E-4"/>
    <n v="1.0029999999999973E-2"/>
    <n v="1000.42"/>
    <n v="1000.42"/>
    <n v="0"/>
    <n v="0.9"/>
    <n v="0.9"/>
    <s v=""/>
    <n v="0.9"/>
    <n v="0"/>
    <n v="1"/>
    <s v="Non conforme"/>
    <m/>
    <m/>
    <n v="0"/>
    <n v="0"/>
    <n v="0"/>
    <s v="Non"/>
    <s v="Oui"/>
    <s v="Non"/>
    <n v="1.1066"/>
    <n v="12.819618651726007"/>
    <x v="0"/>
    <s v="0"/>
    <x v="0"/>
    <n v="1"/>
    <n v="0"/>
    <m/>
    <n v="28232.38"/>
    <m/>
    <m/>
    <m/>
    <m/>
    <m/>
  </r>
  <r>
    <x v="1"/>
    <n v="259377510"/>
    <x v="0"/>
    <s v="sell"/>
    <n v="0.5"/>
    <n v="28510.82"/>
    <n v="28520.82"/>
    <m/>
    <x v="1"/>
    <n v="28521.13"/>
    <n v="0"/>
    <n v="0"/>
    <n v="-4.67"/>
    <n v="2"/>
    <n v="-4.25"/>
    <n v="995.75"/>
    <x v="0"/>
    <x v="0"/>
    <d v="1900-01-01T00:00:00"/>
    <n v="15"/>
    <n v="0"/>
    <s v=""/>
    <n v="10"/>
    <n v="200"/>
    <n v="20"/>
    <n v="-1"/>
    <n v="1000.42"/>
    <n v="995.75"/>
    <d v="2020-02-03T09:41:34"/>
    <n v="1000"/>
    <n v="0"/>
    <d v="2020-02-03T16:08:49"/>
    <n v="1010.03"/>
    <n v="0"/>
    <e v="#N/A"/>
    <n v="-4.6680394234421135E-3"/>
    <s v=""/>
    <n v="1000.42"/>
    <n v="995.75"/>
    <n v="-4.6680394234420719E-3"/>
    <n v="-10.3"/>
    <s v=""/>
    <n v="-10.3"/>
    <n v="-9.4"/>
    <n v="0"/>
    <n v="1"/>
    <s v="Non conforme"/>
    <m/>
    <m/>
    <n v="0"/>
    <n v="0"/>
    <n v="0"/>
    <s v="Non"/>
    <s v="Non"/>
    <s v="Non"/>
    <n v="1.1066"/>
    <n v="12.876762372491065"/>
    <x v="0"/>
    <s v="--"/>
    <x v="1"/>
    <n v="0"/>
    <n v="1"/>
    <m/>
    <s v=""/>
    <m/>
    <m/>
    <m/>
    <m/>
    <m/>
  </r>
  <r>
    <x v="2"/>
    <n v="259377664"/>
    <x v="0"/>
    <s v="sell"/>
    <n v="0.5"/>
    <n v="28518.89"/>
    <n v="28528.89"/>
    <m/>
    <x v="2"/>
    <n v="28528.99"/>
    <n v="0"/>
    <n v="0"/>
    <n v="-4.57"/>
    <n v="3"/>
    <n v="-8.82"/>
    <n v="991.18"/>
    <x v="0"/>
    <x v="0"/>
    <d v="1900-01-01T00:00:00"/>
    <n v="15"/>
    <n v="0"/>
    <s v=""/>
    <n v="10"/>
    <n v="200"/>
    <n v="20"/>
    <n v="-1"/>
    <n v="995.75"/>
    <n v="991.18"/>
    <d v="2020-02-03T09:41:34"/>
    <n v="1000"/>
    <n v="0"/>
    <d v="2020-02-03T16:08:49"/>
    <n v="1010.03"/>
    <n v="0"/>
    <e v="#N/A"/>
    <n v="-4.5895053979413004E-3"/>
    <s v=""/>
    <n v="1000.42"/>
    <n v="991.18"/>
    <n v="-9.2361208292517372E-3"/>
    <n v="-10.1"/>
    <s v=""/>
    <n v="-10.1"/>
    <n v="-19.5"/>
    <n v="0"/>
    <n v="1"/>
    <s v="Non conforme"/>
    <m/>
    <m/>
    <n v="0"/>
    <n v="0"/>
    <n v="0"/>
    <s v="Non"/>
    <s v="Non"/>
    <s v="Non"/>
    <n v="1.1066"/>
    <n v="12.940815382055463"/>
    <x v="0"/>
    <s v="--"/>
    <x v="1"/>
    <n v="0"/>
    <n v="1"/>
    <m/>
    <s v=""/>
    <m/>
    <m/>
    <m/>
    <m/>
    <m/>
  </r>
  <r>
    <x v="3"/>
    <n v="259380961"/>
    <x v="0"/>
    <s v="buy"/>
    <n v="0.5"/>
    <n v="28567.16"/>
    <n v="28557.16"/>
    <n v="28660.1"/>
    <x v="3"/>
    <n v="28557.09"/>
    <n v="0"/>
    <n v="0"/>
    <n v="-4.5599999999999996"/>
    <n v="4"/>
    <n v="-13.379999999999999"/>
    <n v="986.62"/>
    <x v="0"/>
    <x v="0"/>
    <d v="1900-01-01T00:00:00"/>
    <n v="16"/>
    <n v="0"/>
    <s v=""/>
    <n v="10"/>
    <n v="92.9"/>
    <n v="9.3000000000000007"/>
    <n v="-1"/>
    <n v="991.18"/>
    <n v="986.62"/>
    <d v="2020-02-03T09:41:34"/>
    <n v="1000"/>
    <n v="0"/>
    <d v="2020-02-03T16:08:49"/>
    <n v="1010.03"/>
    <n v="0"/>
    <e v="#N/A"/>
    <n v="-4.6005770899331562E-3"/>
    <s v=""/>
    <n v="1000.42"/>
    <n v="986.62"/>
    <n v="-1.3794206433297984E-2"/>
    <n v="-10.1"/>
    <s v=""/>
    <n v="-10.1"/>
    <n v="-29.6"/>
    <n v="0"/>
    <n v="1"/>
    <s v="Non conforme"/>
    <m/>
    <m/>
    <n v="0"/>
    <n v="0"/>
    <n v="0"/>
    <s v="Non"/>
    <s v="Non"/>
    <s v="Non"/>
    <n v="1.1066"/>
    <n v="13.02248528569972"/>
    <x v="0"/>
    <s v="--"/>
    <x v="1"/>
    <n v="0"/>
    <n v="1"/>
    <m/>
    <n v="28660.1"/>
    <m/>
    <m/>
    <m/>
    <m/>
    <m/>
  </r>
  <r>
    <x v="4"/>
    <n v="259380996"/>
    <x v="0"/>
    <s v="buy"/>
    <n v="0.5"/>
    <n v="28560.12"/>
    <n v="28561.62"/>
    <n v="28630.12"/>
    <x v="4"/>
    <n v="28611.86"/>
    <n v="0"/>
    <n v="0"/>
    <n v="23.41"/>
    <n v="5"/>
    <n v="10.030000000000001"/>
    <n v="1010.03"/>
    <x v="0"/>
    <x v="0"/>
    <d v="1900-01-01T00:00:00"/>
    <n v="16"/>
    <n v="0"/>
    <s v=""/>
    <n v="-1.5"/>
    <n v="70"/>
    <n v="7"/>
    <n v="5.2"/>
    <n v="986.62"/>
    <n v="1010.03"/>
    <d v="2020-02-03T09:41:34"/>
    <n v="1000"/>
    <n v="0"/>
    <d v="2020-02-03T16:08:49"/>
    <n v="1010.03"/>
    <n v="1010.03"/>
    <n v="1010.03"/>
    <n v="2.3727473596724138E-2"/>
    <s v=""/>
    <n v="1010.03"/>
    <n v="1000.42"/>
    <s v=""/>
    <n v="51.7"/>
    <n v="51.7"/>
    <s v=""/>
    <n v="22.1"/>
    <n v="0"/>
    <n v="1"/>
    <s v="Non conforme"/>
    <m/>
    <m/>
    <n v="0"/>
    <n v="0"/>
    <n v="0"/>
    <s v="Non"/>
    <s v="Oui"/>
    <s v="Non"/>
    <n v="1.1066"/>
    <n v="13.079449079652678"/>
    <x v="0"/>
    <s v="+"/>
    <x v="0"/>
    <n v="1"/>
    <n v="0"/>
    <m/>
    <n v="28630.12"/>
    <m/>
    <m/>
    <m/>
    <m/>
    <m/>
  </r>
  <r>
    <x v="5"/>
    <n v="259440349"/>
    <x v="0"/>
    <s v="buy"/>
    <n v="0.5"/>
    <n v="28776.639999999999"/>
    <n v="28778.14"/>
    <n v="28803.59"/>
    <x v="5"/>
    <n v="28797.42"/>
    <n v="0"/>
    <n v="0"/>
    <n v="9.41"/>
    <n v="6"/>
    <n v="19.440000000000001"/>
    <n v="1019.44"/>
    <x v="1"/>
    <x v="0"/>
    <d v="1900-01-02T00:00:00"/>
    <n v="15"/>
    <n v="1"/>
    <n v="19"/>
    <n v="-1.5"/>
    <n v="27"/>
    <n v="2.7"/>
    <n v="2.1"/>
    <n v="1010.0300000000001"/>
    <n v="1019.44"/>
    <d v="2020-02-04T15:29:51"/>
    <n v="1010.0300000000001"/>
    <n v="1010.0300000000001"/>
    <d v="2020-02-04T20:11:52"/>
    <n v="1011.88"/>
    <n v="0"/>
    <e v="#N/A"/>
    <n v="9.3165549538132206E-3"/>
    <n v="1.8316287635019839E-3"/>
    <n v="1019.44"/>
    <n v="1010.03"/>
    <s v=""/>
    <n v="20.8"/>
    <n v="20.8"/>
    <s v=""/>
    <n v="42.900000000000006"/>
    <n v="0"/>
    <n v="1"/>
    <s v="Non conforme"/>
    <m/>
    <m/>
    <n v="0"/>
    <n v="0"/>
    <n v="0"/>
    <s v="Non"/>
    <s v="Oui"/>
    <s v="Non"/>
    <n v="1.1048"/>
    <n v="12.89413310491426"/>
    <x v="0"/>
    <s v="+"/>
    <x v="0"/>
    <n v="1"/>
    <n v="0"/>
    <m/>
    <n v="28803.59"/>
    <m/>
    <m/>
    <m/>
    <m/>
    <m/>
  </r>
  <r>
    <x v="6"/>
    <n v="259441799"/>
    <x v="0"/>
    <s v="buy"/>
    <n v="0.5"/>
    <n v="28808.58"/>
    <n v="28798.58"/>
    <m/>
    <x v="6"/>
    <n v="28798.5"/>
    <n v="0"/>
    <n v="0"/>
    <n v="-4.5599999999999996"/>
    <n v="7"/>
    <n v="14.880000000000003"/>
    <n v="1014.88"/>
    <x v="1"/>
    <x v="0"/>
    <d v="1900-01-02T00:00:00"/>
    <n v="15"/>
    <n v="0"/>
    <s v=""/>
    <n v="10"/>
    <n v="200"/>
    <n v="20"/>
    <n v="-1"/>
    <n v="1019.4399999999999"/>
    <n v="1014.88"/>
    <d v="2020-02-04T15:29:51"/>
    <n v="1010.0300000000001"/>
    <n v="0"/>
    <d v="2020-02-04T20:11:52"/>
    <n v="1011.88"/>
    <n v="0"/>
    <e v="#N/A"/>
    <n v="-4.4730440241700789E-3"/>
    <s v=""/>
    <n v="1019.44"/>
    <n v="1014.88"/>
    <n v="-4.4730440241701475E-3"/>
    <n v="-10.1"/>
    <s v=""/>
    <n v="-10.1"/>
    <n v="32.800000000000004"/>
    <n v="0"/>
    <n v="1"/>
    <s v="Non conforme"/>
    <m/>
    <m/>
    <n v="0"/>
    <n v="0"/>
    <n v="0"/>
    <s v="Non"/>
    <s v="Non"/>
    <s v="Non"/>
    <n v="1.1048"/>
    <n v="12.789292518395328"/>
    <x v="0"/>
    <s v="--"/>
    <x v="1"/>
    <n v="0"/>
    <n v="1"/>
    <m/>
    <s v=""/>
    <m/>
    <m/>
    <m/>
    <m/>
    <m/>
  </r>
  <r>
    <x v="7"/>
    <n v="259441844"/>
    <x v="0"/>
    <s v="buy"/>
    <n v="0.5"/>
    <n v="28795.58"/>
    <n v="28785.68"/>
    <n v="28874.99"/>
    <x v="7"/>
    <n v="28785.41"/>
    <n v="0"/>
    <n v="0"/>
    <n v="-4.6100000000000003"/>
    <n v="8"/>
    <n v="10.270000000000003"/>
    <n v="1010.27"/>
    <x v="1"/>
    <x v="0"/>
    <d v="1900-01-02T00:00:00"/>
    <n v="15"/>
    <n v="0"/>
    <s v=""/>
    <n v="9.9"/>
    <n v="79.400000000000006"/>
    <n v="8"/>
    <n v="-1"/>
    <n v="1014.88"/>
    <n v="1010.27"/>
    <d v="2020-02-04T15:29:51"/>
    <n v="1010.0300000000001"/>
    <n v="0"/>
    <d v="2020-02-04T20:11:52"/>
    <n v="1011.88"/>
    <n v="0"/>
    <e v="#N/A"/>
    <n v="-4.5424089547532846E-3"/>
    <s v=""/>
    <n v="1019.44"/>
    <n v="1010.27"/>
    <n v="-8.9951345836930541E-3"/>
    <n v="-10.199999999999999"/>
    <s v=""/>
    <n v="-10.199999999999999"/>
    <n v="22.600000000000005"/>
    <n v="0"/>
    <n v="1"/>
    <s v="Non conforme"/>
    <m/>
    <m/>
    <n v="0"/>
    <n v="0"/>
    <n v="0"/>
    <s v="Non"/>
    <s v="Non"/>
    <s v="Non"/>
    <n v="1.1048"/>
    <n v="12.840959470222838"/>
    <x v="0"/>
    <s v="--"/>
    <x v="1"/>
    <n v="0"/>
    <n v="1"/>
    <m/>
    <n v="28874.99"/>
    <m/>
    <m/>
    <m/>
    <m/>
    <m/>
  </r>
  <r>
    <x v="8"/>
    <n v="259441886"/>
    <x v="0"/>
    <s v="buy"/>
    <n v="0.5"/>
    <n v="28791.73"/>
    <n v="28781.73"/>
    <n v="28875.63"/>
    <x v="8"/>
    <n v="28781.48"/>
    <n v="0"/>
    <n v="0"/>
    <n v="-4.6500000000000004"/>
    <n v="9"/>
    <n v="5.6200000000000028"/>
    <n v="1005.62"/>
    <x v="1"/>
    <x v="0"/>
    <d v="1900-01-02T00:00:00"/>
    <n v="15"/>
    <n v="0"/>
    <s v=""/>
    <n v="10"/>
    <n v="83.9"/>
    <n v="8.4"/>
    <n v="-1"/>
    <n v="1010.27"/>
    <n v="1005.62"/>
    <d v="2020-02-04T15:29:51"/>
    <n v="1010.0300000000001"/>
    <n v="0"/>
    <d v="2020-02-04T20:11:52"/>
    <n v="1011.88"/>
    <n v="0"/>
    <e v="#N/A"/>
    <n v="-4.6027299632771211E-3"/>
    <s v=""/>
    <n v="1019.44"/>
    <n v="1005.62"/>
    <n v="-1.3556462371498101E-2"/>
    <n v="-10.3"/>
    <s v=""/>
    <n v="-10.3"/>
    <n v="12.300000000000004"/>
    <n v="0"/>
    <n v="1"/>
    <s v="Non conforme"/>
    <m/>
    <m/>
    <n v="0"/>
    <n v="0"/>
    <n v="0"/>
    <s v="Non"/>
    <s v="Non"/>
    <s v="Non"/>
    <n v="1.1048"/>
    <n v="12.897829837890715"/>
    <x v="0"/>
    <s v="--"/>
    <x v="1"/>
    <n v="0"/>
    <n v="1"/>
    <m/>
    <n v="28875.63"/>
    <m/>
    <m/>
    <m/>
    <m/>
    <m/>
  </r>
  <r>
    <x v="9"/>
    <n v="259442033"/>
    <x v="0"/>
    <s v="buy"/>
    <n v="0.5"/>
    <n v="28790.57"/>
    <n v="28780.57"/>
    <n v="28875.57"/>
    <x v="9"/>
    <n v="28780.41"/>
    <n v="0"/>
    <n v="0"/>
    <n v="-4.5999999999999996"/>
    <n v="10"/>
    <n v="1.0200000000000031"/>
    <n v="1001.02"/>
    <x v="1"/>
    <x v="0"/>
    <d v="1900-01-02T00:00:00"/>
    <n v="15"/>
    <n v="0"/>
    <s v=""/>
    <n v="10"/>
    <n v="85"/>
    <n v="8.5"/>
    <n v="-1"/>
    <n v="1005.62"/>
    <n v="1001.02"/>
    <d v="2020-02-04T15:29:51"/>
    <n v="1010.0300000000001"/>
    <n v="0"/>
    <d v="2020-02-04T20:11:52"/>
    <n v="1011.88"/>
    <n v="0"/>
    <e v="#N/A"/>
    <n v="-4.5742924762833103E-3"/>
    <s v=""/>
    <n v="1019.44"/>
    <n v="1001.02"/>
    <n v="-1.8068743623950501E-2"/>
    <n v="-10.199999999999999"/>
    <s v=""/>
    <n v="-10.199999999999999"/>
    <n v="2.100000000000005"/>
    <n v="0"/>
    <n v="1"/>
    <s v="Non conforme"/>
    <m/>
    <m/>
    <n v="0"/>
    <n v="0"/>
    <n v="0"/>
    <s v="Non"/>
    <s v="Non"/>
    <s v="Non"/>
    <n v="1.1048"/>
    <n v="12.956947523347461"/>
    <x v="0"/>
    <s v="--"/>
    <x v="1"/>
    <n v="0"/>
    <n v="1"/>
    <m/>
    <n v="28875.57"/>
    <m/>
    <m/>
    <m/>
    <m/>
    <m/>
  </r>
  <r>
    <x v="10"/>
    <n v="259442356"/>
    <x v="0"/>
    <s v="buy"/>
    <n v="0.5"/>
    <n v="28787.69"/>
    <n v="28822.69"/>
    <n v="28877.69"/>
    <x v="10"/>
    <n v="28822.68"/>
    <n v="0"/>
    <n v="0"/>
    <n v="15.84"/>
    <n v="11"/>
    <n v="16.860000000000003"/>
    <n v="1016.86"/>
    <x v="1"/>
    <x v="0"/>
    <d v="1900-01-02T00:00:00"/>
    <n v="15"/>
    <n v="0"/>
    <s v=""/>
    <n v="-35"/>
    <n v="90"/>
    <n v="9"/>
    <n v="3.5"/>
    <n v="1001.02"/>
    <n v="1016.86"/>
    <d v="2020-02-04T15:29:51"/>
    <n v="1010.0300000000001"/>
    <n v="0"/>
    <d v="2020-02-04T20:11:52"/>
    <n v="1011.88"/>
    <n v="0"/>
    <e v="#N/A"/>
    <n v="1.5823859663143626E-2"/>
    <s v=""/>
    <n v="1019.44"/>
    <n v="1016.86"/>
    <n v="-2.5308012242015732E-3"/>
    <n v="35"/>
    <n v="35"/>
    <s v=""/>
    <n v="37.100000000000009"/>
    <n v="0"/>
    <n v="1"/>
    <s v="Non conforme"/>
    <m/>
    <m/>
    <n v="0"/>
    <n v="0"/>
    <n v="0"/>
    <s v="Oui"/>
    <s v="Oui"/>
    <s v="Non"/>
    <n v="1.1048"/>
    <n v="13.015186674689572"/>
    <x v="0"/>
    <s v="+"/>
    <x v="0"/>
    <n v="1"/>
    <n v="0"/>
    <m/>
    <n v="28877.69"/>
    <m/>
    <m/>
    <m/>
    <m/>
    <m/>
  </r>
  <r>
    <x v="11"/>
    <n v="259451567"/>
    <x v="0"/>
    <s v="buy"/>
    <n v="0.5"/>
    <n v="28830.68"/>
    <n v="28832.18"/>
    <n v="28911.88"/>
    <x v="11"/>
    <n v="28831.56"/>
    <n v="0"/>
    <n v="0"/>
    <n v="0.4"/>
    <n v="12"/>
    <n v="17.260000000000002"/>
    <n v="1017.26"/>
    <x v="1"/>
    <x v="0"/>
    <d v="1900-01-02T00:00:00"/>
    <n v="17"/>
    <n v="0"/>
    <s v=""/>
    <n v="-1.5"/>
    <n v="81.2"/>
    <n v="8.1"/>
    <n v="0.1"/>
    <n v="1016.86"/>
    <n v="1017.26"/>
    <d v="2020-02-04T15:29:51"/>
    <n v="1010.0300000000001"/>
    <n v="0"/>
    <d v="2020-02-04T20:11:52"/>
    <n v="1011.88"/>
    <n v="0"/>
    <e v="#N/A"/>
    <n v="3.9336781857873972E-4"/>
    <s v=""/>
    <n v="1019.44"/>
    <n v="1017.26"/>
    <n v="-2.1384289413796109E-3"/>
    <n v="0.9"/>
    <n v="0.9"/>
    <s v=""/>
    <n v="38.000000000000007"/>
    <n v="0"/>
    <n v="1"/>
    <s v="Non conforme"/>
    <m/>
    <m/>
    <n v="0"/>
    <n v="0"/>
    <n v="0"/>
    <s v="Non"/>
    <s v="Oui"/>
    <s v="Non"/>
    <n v="1.1048"/>
    <n v="12.831577773966265"/>
    <x v="0"/>
    <s v="0"/>
    <x v="0"/>
    <n v="1"/>
    <n v="0"/>
    <m/>
    <n v="28911.88"/>
    <m/>
    <m/>
    <m/>
    <m/>
    <m/>
  </r>
  <r>
    <x v="12"/>
    <n v="259453017"/>
    <x v="0"/>
    <s v="sell"/>
    <n v="0.5"/>
    <n v="28874.5"/>
    <n v="28884.5"/>
    <n v="28874.49"/>
    <x v="12"/>
    <n v="28884.79"/>
    <n v="0"/>
    <n v="0"/>
    <n v="-4.67"/>
    <n v="13"/>
    <n v="12.590000000000002"/>
    <n v="1012.59"/>
    <x v="1"/>
    <x v="0"/>
    <d v="1900-01-02T00:00:00"/>
    <n v="17"/>
    <n v="0"/>
    <s v=""/>
    <n v="10"/>
    <n v="0"/>
    <n v="0"/>
    <n v="-1"/>
    <n v="1017.26"/>
    <n v="1012.59"/>
    <d v="2020-02-04T15:29:51"/>
    <n v="1010.0300000000001"/>
    <n v="0"/>
    <d v="2020-02-04T20:11:52"/>
    <n v="1011.88"/>
    <n v="0"/>
    <e v="#N/A"/>
    <n v="-4.5907634233135668E-3"/>
    <s v=""/>
    <n v="1019.44"/>
    <n v="1012.59"/>
    <n v="-6.7193753433257841E-3"/>
    <n v="-10.3"/>
    <s v=""/>
    <n v="-10.3"/>
    <n v="27.700000000000006"/>
    <n v="0"/>
    <n v="1"/>
    <s v="Non conforme"/>
    <m/>
    <m/>
    <n v="0"/>
    <n v="0"/>
    <n v="0"/>
    <s v="Non"/>
    <s v="Non"/>
    <s v="Non"/>
    <n v="1.1048"/>
    <n v="12.846027386284488"/>
    <x v="0"/>
    <s v="--"/>
    <x v="1"/>
    <n v="0"/>
    <n v="1"/>
    <m/>
    <n v="28874.49"/>
    <m/>
    <m/>
    <m/>
    <m/>
    <m/>
  </r>
  <r>
    <x v="13"/>
    <n v="259453265"/>
    <x v="0"/>
    <s v="sell"/>
    <n v="0.5"/>
    <n v="28872.53"/>
    <n v="28882.53"/>
    <n v="28828.19"/>
    <x v="13"/>
    <n v="28882.75"/>
    <n v="0"/>
    <n v="0"/>
    <n v="-4.63"/>
    <n v="14"/>
    <n v="7.9600000000000017"/>
    <n v="1007.96"/>
    <x v="1"/>
    <x v="0"/>
    <d v="1900-01-02T00:00:00"/>
    <n v="17"/>
    <n v="0"/>
    <s v=""/>
    <n v="10"/>
    <n v="44.3"/>
    <n v="4.4000000000000004"/>
    <n v="-1"/>
    <n v="1012.59"/>
    <n v="1007.96"/>
    <d v="2020-02-04T15:29:51"/>
    <n v="1010.0300000000001"/>
    <n v="0"/>
    <d v="2020-02-04T20:11:52"/>
    <n v="1011.88"/>
    <n v="0"/>
    <e v="#N/A"/>
    <n v="-4.57243306767793E-3"/>
    <s v=""/>
    <n v="1019.44"/>
    <n v="1007.96"/>
    <n v="-1.1261084516989706E-2"/>
    <n v="-10.199999999999999"/>
    <s v=""/>
    <n v="-10.199999999999999"/>
    <n v="17.500000000000007"/>
    <n v="0"/>
    <n v="1"/>
    <s v="Non conforme"/>
    <m/>
    <m/>
    <n v="0"/>
    <n v="0"/>
    <n v="0"/>
    <s v="Non"/>
    <s v="Non"/>
    <s v="Non"/>
    <n v="1.1048"/>
    <n v="12.904391960109976"/>
    <x v="0"/>
    <s v="--"/>
    <x v="1"/>
    <n v="0"/>
    <n v="1"/>
    <m/>
    <n v="28828.19"/>
    <m/>
    <m/>
    <m/>
    <m/>
    <m/>
  </r>
  <r>
    <x v="14"/>
    <n v="259453387"/>
    <x v="0"/>
    <s v="sell"/>
    <n v="0.5"/>
    <n v="28879.56"/>
    <n v="28889.56"/>
    <m/>
    <x v="14"/>
    <n v="28889.84"/>
    <n v="0"/>
    <n v="0"/>
    <n v="-4.66"/>
    <n v="15"/>
    <n v="3.3000000000000016"/>
    <n v="1003.3"/>
    <x v="1"/>
    <x v="0"/>
    <d v="1900-01-02T00:00:00"/>
    <n v="17"/>
    <n v="0"/>
    <s v=""/>
    <n v="10"/>
    <n v="200"/>
    <n v="20"/>
    <n v="-1"/>
    <n v="1007.9599999999999"/>
    <n v="1003.3"/>
    <d v="2020-02-04T15:29:51"/>
    <n v="1010.0300000000001"/>
    <n v="0"/>
    <d v="2020-02-04T20:11:52"/>
    <n v="1011.88"/>
    <n v="0"/>
    <e v="#N/A"/>
    <n v="-4.6231993333068462E-3"/>
    <s v=""/>
    <n v="1019.44"/>
    <n v="1003.3"/>
    <n v="-1.5832221611865482E-2"/>
    <n v="-10.3"/>
    <s v=""/>
    <n v="-10.3"/>
    <n v="7.2000000000000064"/>
    <n v="0"/>
    <n v="1"/>
    <s v="Non conforme"/>
    <m/>
    <m/>
    <n v="0"/>
    <n v="0"/>
    <n v="0"/>
    <s v="Non"/>
    <s v="Non"/>
    <s v="Non"/>
    <n v="1.1048"/>
    <n v="12.966823907905958"/>
    <x v="0"/>
    <s v="--"/>
    <x v="1"/>
    <n v="0"/>
    <n v="1"/>
    <m/>
    <s v=""/>
    <m/>
    <m/>
    <m/>
    <m/>
    <m/>
  </r>
  <r>
    <x v="15"/>
    <n v="259453447"/>
    <x v="0"/>
    <s v="buy"/>
    <n v="0.5"/>
    <n v="28889.8"/>
    <n v="28879.8"/>
    <n v="28919.8"/>
    <x v="15"/>
    <n v="28879.759999999998"/>
    <n v="0"/>
    <n v="0"/>
    <n v="-4.55"/>
    <n v="16"/>
    <n v="-1.2499999999999982"/>
    <n v="998.75"/>
    <x v="1"/>
    <x v="0"/>
    <d v="1900-01-02T00:00:00"/>
    <n v="17"/>
    <n v="0"/>
    <s v=""/>
    <n v="10"/>
    <n v="30"/>
    <n v="3"/>
    <n v="-1"/>
    <n v="1003.3"/>
    <n v="998.75"/>
    <d v="2020-02-04T15:29:51"/>
    <n v="1010.0300000000001"/>
    <n v="0"/>
    <d v="2020-02-04T20:11:52"/>
    <n v="1011.88"/>
    <n v="0"/>
    <e v="#N/A"/>
    <n v="-4.5350343865244239E-3"/>
    <s v=""/>
    <n v="1019.44"/>
    <n v="998.75"/>
    <n v="-2.0295456328965011E-2"/>
    <n v="-10"/>
    <s v=""/>
    <n v="-10"/>
    <n v="-2.7999999999999936"/>
    <n v="0"/>
    <n v="1"/>
    <s v="Non conforme"/>
    <m/>
    <m/>
    <n v="0"/>
    <n v="0"/>
    <n v="0"/>
    <s v="Non"/>
    <s v="Non"/>
    <s v="Non"/>
    <n v="1.1048"/>
    <n v="13.031669639357393"/>
    <x v="0"/>
    <s v="--"/>
    <x v="1"/>
    <n v="0"/>
    <n v="1"/>
    <m/>
    <n v="28919.8"/>
    <m/>
    <m/>
    <m/>
    <m/>
    <m/>
  </r>
  <r>
    <x v="16"/>
    <n v="259454433"/>
    <x v="0"/>
    <s v="sell"/>
    <n v="0.5"/>
    <n v="28877.56"/>
    <n v="28887.56"/>
    <n v="28841.43"/>
    <x v="16"/>
    <n v="28887.65"/>
    <n v="0"/>
    <n v="0"/>
    <n v="-4.58"/>
    <n v="17"/>
    <n v="-5.8299999999999983"/>
    <n v="994.17"/>
    <x v="1"/>
    <x v="0"/>
    <d v="1900-01-02T00:00:00"/>
    <n v="17"/>
    <n v="0"/>
    <s v=""/>
    <n v="10"/>
    <n v="36.1"/>
    <n v="3.6"/>
    <n v="-1"/>
    <n v="998.75"/>
    <n v="994.17"/>
    <d v="2020-02-04T15:29:51"/>
    <n v="1010.0300000000001"/>
    <n v="0"/>
    <d v="2020-02-04T20:11:52"/>
    <n v="1011.88"/>
    <n v="0"/>
    <e v="#N/A"/>
    <n v="-4.5857321652065493E-3"/>
    <s v=""/>
    <n v="1019.44"/>
    <n v="994.17"/>
    <n v="-2.4788118967276285E-2"/>
    <n v="-10.1"/>
    <s v=""/>
    <n v="-10.1"/>
    <n v="-12.899999999999993"/>
    <n v="0"/>
    <n v="1"/>
    <s v="Non conforme"/>
    <m/>
    <m/>
    <n v="0"/>
    <n v="0"/>
    <n v="0"/>
    <s v="Non"/>
    <s v="Non"/>
    <s v="Non"/>
    <n v="1.1048"/>
    <n v="13.085491549447671"/>
    <x v="0"/>
    <s v="--"/>
    <x v="1"/>
    <n v="0"/>
    <n v="1"/>
    <m/>
    <n v="28841.43"/>
    <m/>
    <m/>
    <m/>
    <m/>
    <m/>
  </r>
  <r>
    <x v="17"/>
    <n v="259454672"/>
    <x v="0"/>
    <s v="buy"/>
    <n v="0.5"/>
    <n v="28888.76"/>
    <n v="28878.76"/>
    <n v="28930.31"/>
    <x v="17"/>
    <n v="28878.52"/>
    <n v="0"/>
    <n v="0"/>
    <n v="-4.6399999999999997"/>
    <n v="18"/>
    <n v="-10.469999999999999"/>
    <n v="989.53"/>
    <x v="1"/>
    <x v="0"/>
    <d v="1900-01-02T00:00:00"/>
    <n v="17"/>
    <n v="0"/>
    <s v=""/>
    <n v="10"/>
    <n v="41.6"/>
    <n v="4.2"/>
    <n v="-1"/>
    <n v="994.17"/>
    <n v="989.53"/>
    <d v="2020-02-04T15:29:51"/>
    <n v="1010.0300000000001"/>
    <n v="0"/>
    <d v="2020-02-04T20:11:52"/>
    <n v="1011.88"/>
    <n v="0"/>
    <e v="#N/A"/>
    <n v="-4.6672098333282903E-3"/>
    <s v=""/>
    <n v="1019.44"/>
    <n v="989.53"/>
    <n v="-2.9339637448010714E-2"/>
    <n v="-10.199999999999999"/>
    <s v=""/>
    <n v="-10.199999999999999"/>
    <n v="-23.099999999999994"/>
    <n v="0"/>
    <n v="1"/>
    <s v="Non conforme"/>
    <m/>
    <m/>
    <n v="0"/>
    <n v="0"/>
    <n v="0"/>
    <s v="Non"/>
    <s v="Non"/>
    <s v="Non"/>
    <n v="1.1048"/>
    <n v="13.150873065715336"/>
    <x v="0"/>
    <s v="--"/>
    <x v="1"/>
    <n v="0"/>
    <n v="1"/>
    <m/>
    <n v="28930.31"/>
    <m/>
    <m/>
    <m/>
    <m/>
    <m/>
  </r>
  <r>
    <x v="18"/>
    <n v="259454753"/>
    <x v="0"/>
    <s v="sell"/>
    <n v="0.5"/>
    <n v="28877.58"/>
    <n v="28887.58"/>
    <n v="28792.58"/>
    <x v="18"/>
    <n v="28887.86"/>
    <n v="0"/>
    <n v="0"/>
    <n v="-4.6500000000000004"/>
    <n v="19"/>
    <n v="-15.12"/>
    <n v="984.88"/>
    <x v="1"/>
    <x v="0"/>
    <d v="1900-01-02T00:00:00"/>
    <n v="18"/>
    <n v="0"/>
    <s v=""/>
    <n v="10"/>
    <n v="85"/>
    <n v="8.5"/>
    <n v="-1"/>
    <n v="989.53"/>
    <n v="984.88"/>
    <d v="2020-02-04T15:29:51"/>
    <n v="1010.0300000000001"/>
    <n v="0"/>
    <d v="2020-02-04T20:11:52"/>
    <n v="1011.88"/>
    <n v="0"/>
    <e v="#N/A"/>
    <n v="-4.6992006306023843E-3"/>
    <s v=""/>
    <n v="1019.44"/>
    <n v="984.88"/>
    <n v="-3.3900965235815761E-2"/>
    <n v="-10.3"/>
    <s v=""/>
    <n v="-10.3"/>
    <n v="-33.399999999999991"/>
    <n v="0"/>
    <n v="1"/>
    <s v="Non conforme"/>
    <m/>
    <m/>
    <n v="0"/>
    <n v="0"/>
    <n v="0"/>
    <s v="Non"/>
    <s v="Non"/>
    <s v="Non"/>
    <n v="1.1048"/>
    <n v="13.207425481211164"/>
    <x v="0"/>
    <s v="--"/>
    <x v="1"/>
    <n v="0"/>
    <n v="1"/>
    <m/>
    <n v="28792.58"/>
    <m/>
    <m/>
    <m/>
    <m/>
    <m/>
  </r>
  <r>
    <x v="19"/>
    <n v="259456028"/>
    <x v="0"/>
    <s v="sell"/>
    <n v="0.5"/>
    <n v="28878.58"/>
    <n v="28888.58"/>
    <m/>
    <x v="19"/>
    <n v="28888.79"/>
    <n v="0"/>
    <n v="0"/>
    <n v="-4.63"/>
    <n v="20"/>
    <n v="-19.75"/>
    <n v="980.25"/>
    <x v="1"/>
    <x v="0"/>
    <d v="1900-01-02T00:00:00"/>
    <n v="18"/>
    <n v="0"/>
    <s v=""/>
    <n v="10"/>
    <n v="200"/>
    <n v="20"/>
    <n v="-1"/>
    <n v="984.88"/>
    <n v="980.25"/>
    <d v="2020-02-04T15:29:51"/>
    <n v="1010.0300000000001"/>
    <n v="0"/>
    <d v="2020-02-04T20:11:52"/>
    <n v="1011.88"/>
    <n v="0"/>
    <e v="#N/A"/>
    <n v="-4.7010803346600556E-3"/>
    <s v=""/>
    <n v="1019.44"/>
    <n v="980.25"/>
    <n v="-3.8442674409479793E-2"/>
    <n v="-10.199999999999999"/>
    <s v=""/>
    <n v="-10.199999999999999"/>
    <n v="-43.599999999999994"/>
    <n v="0"/>
    <n v="1"/>
    <s v="Non conforme"/>
    <m/>
    <m/>
    <n v="0"/>
    <n v="0"/>
    <n v="0"/>
    <s v="Non"/>
    <s v="Non"/>
    <s v="Non"/>
    <n v="1.1048"/>
    <n v="13.270242371683754"/>
    <x v="0"/>
    <s v="--"/>
    <x v="1"/>
    <n v="0"/>
    <n v="1"/>
    <m/>
    <s v=""/>
    <m/>
    <m/>
    <m/>
    <m/>
    <m/>
  </r>
  <r>
    <x v="20"/>
    <n v="259456099"/>
    <x v="0"/>
    <s v="sell"/>
    <n v="0.5"/>
    <n v="28885.53"/>
    <n v="28895.53"/>
    <n v="28785.53"/>
    <x v="20"/>
    <n v="28895.8"/>
    <n v="0"/>
    <n v="0"/>
    <n v="-4.6500000000000004"/>
    <n v="21"/>
    <n v="-24.4"/>
    <n v="975.6"/>
    <x v="1"/>
    <x v="0"/>
    <d v="1900-01-02T00:00:00"/>
    <n v="18"/>
    <n v="0"/>
    <s v=""/>
    <n v="10"/>
    <n v="100"/>
    <n v="10"/>
    <n v="-1"/>
    <n v="980.25"/>
    <n v="975.6"/>
    <d v="2020-02-04T15:29:51"/>
    <n v="1010.0300000000001"/>
    <n v="0"/>
    <d v="2020-02-04T20:11:52"/>
    <n v="1011.88"/>
    <n v="0"/>
    <e v="#N/A"/>
    <n v="-4.7436878347360137E-3"/>
    <s v=""/>
    <n v="1019.44"/>
    <n v="975.6"/>
    <n v="-4.3004002197284841E-2"/>
    <n v="-10.3"/>
    <s v=""/>
    <n v="-10.3"/>
    <n v="-53.899999999999991"/>
    <n v="0"/>
    <n v="1"/>
    <s v="Non conforme"/>
    <m/>
    <m/>
    <n v="0"/>
    <n v="0"/>
    <n v="0"/>
    <s v="Non"/>
    <s v="Non"/>
    <s v="Non"/>
    <n v="1.1048"/>
    <n v="13.336130245040492"/>
    <x v="0"/>
    <s v="--"/>
    <x v="1"/>
    <n v="0"/>
    <n v="1"/>
    <m/>
    <n v="28785.53"/>
    <m/>
    <m/>
    <m/>
    <m/>
    <m/>
  </r>
  <r>
    <x v="21"/>
    <n v="259456360"/>
    <x v="0"/>
    <s v="sell"/>
    <n v="0.5"/>
    <n v="28893.53"/>
    <n v="28903.53"/>
    <n v="28743.53"/>
    <x v="21"/>
    <n v="28903.85"/>
    <n v="0"/>
    <n v="0"/>
    <n v="-4.67"/>
    <n v="22"/>
    <n v="-29.07"/>
    <n v="970.93"/>
    <x v="1"/>
    <x v="0"/>
    <d v="1900-01-02T00:00:00"/>
    <n v="18"/>
    <n v="0"/>
    <s v=""/>
    <n v="10"/>
    <n v="150"/>
    <n v="15"/>
    <n v="-1"/>
    <n v="975.59999999999991"/>
    <n v="970.93"/>
    <d v="2020-02-04T15:29:51"/>
    <n v="1010.0300000000001"/>
    <n v="0"/>
    <d v="2020-02-04T20:11:52"/>
    <n v="1011.88"/>
    <n v="0"/>
    <e v="#N/A"/>
    <n v="-4.7867978679786384E-3"/>
    <s v=""/>
    <n v="1019.44"/>
    <n v="970.93"/>
    <n v="-4.7584948599231014E-2"/>
    <n v="-10.3"/>
    <s v=""/>
    <n v="-10.3"/>
    <n v="-64.199999999999989"/>
    <n v="0"/>
    <n v="1"/>
    <s v="Non conforme"/>
    <m/>
    <m/>
    <n v="0"/>
    <n v="0"/>
    <n v="0"/>
    <s v="Non"/>
    <s v="Non"/>
    <s v="Non"/>
    <n v="1.1048"/>
    <n v="13.403405327500053"/>
    <x v="0"/>
    <s v="--"/>
    <x v="1"/>
    <n v="0"/>
    <n v="1"/>
    <m/>
    <n v="28743.53"/>
    <m/>
    <m/>
    <m/>
    <m/>
    <m/>
  </r>
  <r>
    <x v="22"/>
    <n v="259457039"/>
    <x v="0"/>
    <s v="sell"/>
    <n v="0.5"/>
    <n v="28894.639999999999"/>
    <n v="28904.639999999999"/>
    <n v="28784.240000000002"/>
    <x v="22"/>
    <n v="28904.81"/>
    <n v="0"/>
    <n v="0"/>
    <n v="-4.6100000000000003"/>
    <n v="23"/>
    <n v="-33.68"/>
    <n v="966.32"/>
    <x v="1"/>
    <x v="0"/>
    <d v="1900-01-02T00:00:00"/>
    <n v="20"/>
    <n v="0"/>
    <s v=""/>
    <n v="10"/>
    <n v="110.4"/>
    <n v="11"/>
    <n v="-1"/>
    <n v="970.93000000000006"/>
    <n v="966.32"/>
    <d v="2020-02-04T15:29:51"/>
    <n v="1010.0300000000001"/>
    <n v="0"/>
    <d v="2020-02-04T20:11:52"/>
    <n v="1011.88"/>
    <n v="0"/>
    <e v="#N/A"/>
    <n v="-4.7480250893473406E-3"/>
    <s v=""/>
    <n v="1019.44"/>
    <n v="966.32"/>
    <n v="-5.210703915875381E-2"/>
    <n v="-10.199999999999999"/>
    <s v=""/>
    <n v="-10.199999999999999"/>
    <n v="-74.399999999999991"/>
    <n v="0"/>
    <n v="1"/>
    <s v="Non conforme"/>
    <m/>
    <m/>
    <n v="0"/>
    <n v="0"/>
    <n v="0"/>
    <s v="Non"/>
    <s v="Non"/>
    <s v="Non"/>
    <n v="1.1048"/>
    <n v="13.46839070878042"/>
    <x v="0"/>
    <s v="--"/>
    <x v="1"/>
    <n v="0"/>
    <n v="1"/>
    <m/>
    <n v="28784.240000000002"/>
    <m/>
    <m/>
    <m/>
    <m/>
    <m/>
  </r>
  <r>
    <x v="23"/>
    <n v="259463422"/>
    <x v="0"/>
    <s v="sell"/>
    <n v="0.5"/>
    <n v="28903.69"/>
    <n v="28913.69"/>
    <n v="28803.69"/>
    <x v="23"/>
    <n v="28803.05"/>
    <n v="0"/>
    <n v="0"/>
    <n v="45.56"/>
    <n v="24"/>
    <n v="11.880000000000003"/>
    <n v="1011.8799999999999"/>
    <x v="1"/>
    <x v="0"/>
    <d v="1900-01-02T00:00:00"/>
    <n v="21"/>
    <n v="0"/>
    <s v=""/>
    <n v="10"/>
    <n v="100"/>
    <n v="10"/>
    <n v="10.1"/>
    <n v="966.31999999999994"/>
    <n v="1011.88"/>
    <d v="2020-02-04T15:29:51"/>
    <n v="1010.0300000000001"/>
    <n v="0"/>
    <d v="2020-02-04T20:11:52"/>
    <n v="1011.88"/>
    <n v="1011.88"/>
    <n v="1011.88"/>
    <n v="4.7147942710489346E-2"/>
    <s v=""/>
    <n v="1019.44"/>
    <n v="1011.8799999999999"/>
    <n v="-7.4158361453348087E-3"/>
    <n v="100.6"/>
    <n v="100.6"/>
    <s v=""/>
    <n v="26.200000000000003"/>
    <n v="0"/>
    <n v="1"/>
    <s v="Non conforme"/>
    <m/>
    <m/>
    <n v="0"/>
    <n v="0"/>
    <n v="0"/>
    <s v="Non"/>
    <s v="Non"/>
    <s v="Oui"/>
    <n v="1.1048"/>
    <n v="13.536882559416499"/>
    <x v="0"/>
    <s v="++"/>
    <x v="0"/>
    <n v="1"/>
    <n v="0"/>
    <m/>
    <n v="28803.69"/>
    <m/>
    <m/>
    <m/>
    <m/>
    <m/>
  </r>
  <r>
    <x v="24"/>
    <n v="259507137"/>
    <x v="0"/>
    <s v="buy"/>
    <n v="0.5"/>
    <n v="29138.34"/>
    <n v="29128.34"/>
    <m/>
    <x v="24"/>
    <n v="29128.29"/>
    <n v="0"/>
    <n v="0"/>
    <n v="-4.57"/>
    <n v="25"/>
    <n v="7.3100000000000023"/>
    <n v="1007.31"/>
    <x v="2"/>
    <x v="0"/>
    <d v="1900-01-03T00:00:00"/>
    <n v="16"/>
    <n v="1"/>
    <n v="20"/>
    <n v="10"/>
    <n v="200"/>
    <n v="20"/>
    <n v="-1"/>
    <n v="1011.88"/>
    <n v="1007.31"/>
    <d v="2020-02-05T16:01:54"/>
    <n v="1011.88"/>
    <n v="1011.88"/>
    <d v="2020-02-05T16:42:05"/>
    <n v="1017.63"/>
    <n v="0"/>
    <e v="#N/A"/>
    <n v="-4.5163458117563841E-3"/>
    <n v="5.6824919950982334E-3"/>
    <n v="1019.44"/>
    <n v="1007.31"/>
    <n v="-1.1898689476575464E-2"/>
    <n v="-10"/>
    <s v=""/>
    <n v="-10"/>
    <n v="16.200000000000003"/>
    <n v="0"/>
    <n v="1"/>
    <s v="Non conforme"/>
    <m/>
    <m/>
    <n v="0"/>
    <n v="0"/>
    <n v="0"/>
    <s v="Non"/>
    <s v="Non"/>
    <s v="Non"/>
    <n v="1.1023000000000001"/>
    <n v="13.061889077813634"/>
    <x v="0"/>
    <s v="--"/>
    <x v="1"/>
    <n v="0"/>
    <n v="1"/>
    <m/>
    <s v=""/>
    <m/>
    <m/>
    <m/>
    <m/>
    <m/>
  </r>
  <r>
    <x v="25"/>
    <n v="259507198"/>
    <x v="0"/>
    <s v="buy"/>
    <n v="0.5"/>
    <n v="29135.11"/>
    <n v="29125.11"/>
    <n v="29185.11"/>
    <x v="25"/>
    <n v="29124.959999999999"/>
    <n v="0"/>
    <n v="0"/>
    <n v="-4.62"/>
    <n v="26"/>
    <n v="2.6900000000000022"/>
    <n v="1002.69"/>
    <x v="2"/>
    <x v="0"/>
    <d v="1900-01-03T00:00:00"/>
    <n v="16"/>
    <n v="0"/>
    <s v=""/>
    <n v="10"/>
    <n v="50"/>
    <n v="5"/>
    <n v="-1"/>
    <n v="1007.3100000000001"/>
    <n v="1002.69"/>
    <d v="2020-02-05T16:01:54"/>
    <n v="1011.88"/>
    <n v="0"/>
    <d v="2020-02-05T16:42:05"/>
    <n v="1017.63"/>
    <n v="0"/>
    <e v="#N/A"/>
    <n v="-4.5864728832236395E-3"/>
    <s v=""/>
    <n v="1019.44"/>
    <n v="1002.69"/>
    <n v="-1.6430589343168767E-2"/>
    <n v="-10.199999999999999"/>
    <s v=""/>
    <n v="-10.199999999999999"/>
    <n v="6.0000000000000036"/>
    <n v="0"/>
    <n v="1"/>
    <s v="Non conforme"/>
    <m/>
    <m/>
    <n v="0"/>
    <n v="0"/>
    <n v="0"/>
    <s v="Non"/>
    <s v="Non"/>
    <s v="Non"/>
    <n v="1.1023000000000001"/>
    <n v="13.119694236798241"/>
    <x v="0"/>
    <s v="--"/>
    <x v="1"/>
    <n v="0"/>
    <n v="1"/>
    <m/>
    <n v="29185.11"/>
    <m/>
    <m/>
    <m/>
    <m/>
    <m/>
  </r>
  <r>
    <x v="26"/>
    <n v="259507324"/>
    <x v="0"/>
    <s v="buy"/>
    <n v="0.5"/>
    <n v="29136.2"/>
    <n v="29126.2"/>
    <n v="29186.2"/>
    <x v="26"/>
    <n v="29125.99"/>
    <n v="0"/>
    <n v="0"/>
    <n v="-4.6500000000000004"/>
    <n v="27"/>
    <n v="-1.9599999999999982"/>
    <n v="998.04"/>
    <x v="2"/>
    <x v="0"/>
    <d v="1900-01-03T00:00:00"/>
    <n v="16"/>
    <n v="0"/>
    <s v=""/>
    <n v="10"/>
    <n v="50"/>
    <n v="5"/>
    <n v="-1"/>
    <n v="1002.6899999999999"/>
    <n v="998.04"/>
    <d v="2020-02-05T16:01:54"/>
    <n v="1011.88"/>
    <n v="0"/>
    <d v="2020-02-05T16:42:05"/>
    <n v="1017.63"/>
    <n v="0"/>
    <e v="#N/A"/>
    <n v="-4.6375250575950468E-3"/>
    <s v=""/>
    <n v="1019.44"/>
    <n v="998.04"/>
    <n v="-2.0991917130973925E-2"/>
    <n v="-10.199999999999999"/>
    <s v=""/>
    <n v="-10.199999999999999"/>
    <n v="-4.1999999999999957"/>
    <n v="0"/>
    <n v="1"/>
    <s v="Non conforme"/>
    <m/>
    <m/>
    <n v="0"/>
    <n v="0"/>
    <n v="0"/>
    <s v="Non"/>
    <s v="Non"/>
    <s v="Non"/>
    <n v="1.1023000000000001"/>
    <n v="13.180637706994023"/>
    <x v="0"/>
    <s v="--"/>
    <x v="1"/>
    <n v="0"/>
    <n v="1"/>
    <m/>
    <n v="29186.2"/>
    <m/>
    <m/>
    <m/>
    <m/>
    <m/>
  </r>
  <r>
    <x v="27"/>
    <n v="259507367"/>
    <x v="0"/>
    <s v="buy"/>
    <n v="0.5"/>
    <n v="29130.26"/>
    <n v="29121.26"/>
    <n v="29182.31"/>
    <x v="27"/>
    <n v="29121.09"/>
    <n v="0"/>
    <n v="0"/>
    <n v="-4.17"/>
    <n v="28"/>
    <n v="-6.1299999999999981"/>
    <n v="993.87"/>
    <x v="2"/>
    <x v="0"/>
    <d v="1900-01-03T00:00:00"/>
    <n v="16"/>
    <n v="0"/>
    <s v=""/>
    <n v="9"/>
    <n v="52.1"/>
    <n v="5.8"/>
    <n v="-0.9"/>
    <n v="998.04"/>
    <n v="993.87"/>
    <d v="2020-02-05T16:01:54"/>
    <n v="1011.88"/>
    <n v="0"/>
    <d v="2020-02-05T16:42:05"/>
    <n v="1017.63"/>
    <n v="0"/>
    <e v="#N/A"/>
    <n v="-4.1781892509317855E-3"/>
    <s v=""/>
    <n v="1019.44"/>
    <n v="993.87"/>
    <n v="-2.5082398179392618E-2"/>
    <n v="-9.1999999999999993"/>
    <s v=""/>
    <n v="-9.1999999999999993"/>
    <n v="-13.399999999999995"/>
    <n v="0"/>
    <n v="1"/>
    <s v="Non conforme"/>
    <m/>
    <m/>
    <n v="0"/>
    <n v="0"/>
    <n v="0"/>
    <s v="Non"/>
    <s v="Non"/>
    <s v="Non"/>
    <n v="1.1023000000000001"/>
    <n v="13.23934837892357"/>
    <x v="0"/>
    <s v="--"/>
    <x v="1"/>
    <n v="0"/>
    <n v="1"/>
    <m/>
    <n v="29182.31"/>
    <m/>
    <m/>
    <m/>
    <m/>
    <m/>
  </r>
  <r>
    <x v="28"/>
    <n v="259507398"/>
    <x v="0"/>
    <s v="buy"/>
    <n v="0.5"/>
    <n v="29119.18"/>
    <n v="29110.13"/>
    <n v="29269.18"/>
    <x v="28"/>
    <n v="29109.01"/>
    <n v="0"/>
    <n v="0"/>
    <n v="-4.63"/>
    <n v="29"/>
    <n v="-10.759999999999998"/>
    <n v="989.24"/>
    <x v="2"/>
    <x v="0"/>
    <d v="1900-01-03T00:00:00"/>
    <n v="16"/>
    <n v="0"/>
    <s v=""/>
    <n v="9"/>
    <n v="150"/>
    <n v="16.7"/>
    <n v="-1"/>
    <n v="993.87"/>
    <n v="989.24"/>
    <d v="2020-02-05T16:01:54"/>
    <n v="1011.88"/>
    <n v="0"/>
    <d v="2020-02-05T16:42:05"/>
    <n v="1017.63"/>
    <n v="0"/>
    <e v="#N/A"/>
    <n v="-4.6585569541288049E-3"/>
    <s v=""/>
    <n v="1019.44"/>
    <n v="989.24"/>
    <n v="-2.962410735305665E-2"/>
    <n v="-10.199999999999999"/>
    <s v=""/>
    <n v="-10.199999999999999"/>
    <n v="-23.599999999999994"/>
    <n v="0"/>
    <n v="1"/>
    <s v="Non conforme"/>
    <m/>
    <m/>
    <n v="0"/>
    <n v="0"/>
    <n v="0"/>
    <s v="Non"/>
    <s v="Non"/>
    <s v="Non"/>
    <n v="1.1023000000000001"/>
    <n v="13.289840121012293"/>
    <x v="0"/>
    <s v="--"/>
    <x v="1"/>
    <n v="0"/>
    <n v="1"/>
    <m/>
    <n v="29269.18"/>
    <m/>
    <m/>
    <m/>
    <m/>
    <m/>
  </r>
  <r>
    <x v="29"/>
    <n v="259507810"/>
    <x v="0"/>
    <s v="buy"/>
    <n v="0.5"/>
    <n v="29109.16"/>
    <n v="29100.02"/>
    <n v="29275.17"/>
    <x v="29"/>
    <n v="29100.02"/>
    <n v="0"/>
    <n v="0"/>
    <n v="-4.1500000000000004"/>
    <n v="30"/>
    <n v="-14.909999999999998"/>
    <n v="985.09"/>
    <x v="2"/>
    <x v="0"/>
    <d v="1900-01-03T00:00:00"/>
    <n v="16"/>
    <n v="0"/>
    <s v=""/>
    <n v="9.1"/>
    <n v="166"/>
    <n v="18.2"/>
    <n v="-0.9"/>
    <n v="989.24"/>
    <n v="985.09"/>
    <d v="2020-02-05T16:01:54"/>
    <n v="1011.88"/>
    <n v="0"/>
    <d v="2020-02-05T16:42:05"/>
    <n v="1017.63"/>
    <n v="0"/>
    <e v="#N/A"/>
    <n v="-4.1951397032064788E-3"/>
    <s v=""/>
    <n v="1019.44"/>
    <n v="985.09"/>
    <n v="-3.3694969787334217E-2"/>
    <n v="-9.1"/>
    <s v=""/>
    <n v="-9.1"/>
    <n v="-32.699999999999996"/>
    <n v="0"/>
    <n v="1"/>
    <s v="Non conforme"/>
    <m/>
    <m/>
    <n v="0"/>
    <n v="0"/>
    <n v="0"/>
    <s v="Non"/>
    <s v="Non"/>
    <s v="Non"/>
    <n v="1.1023000000000001"/>
    <n v="13.347446887394327"/>
    <x v="0"/>
    <s v="--"/>
    <x v="1"/>
    <n v="0"/>
    <n v="1"/>
    <m/>
    <n v="29275.17"/>
    <m/>
    <m/>
    <m/>
    <m/>
    <m/>
  </r>
  <r>
    <x v="30"/>
    <n v="259507965"/>
    <x v="0"/>
    <s v="buy"/>
    <n v="0.5"/>
    <n v="29105.01"/>
    <n v="29094.33"/>
    <m/>
    <x v="30"/>
    <n v="29094.07"/>
    <n v="0"/>
    <n v="0"/>
    <n v="-4.97"/>
    <n v="31"/>
    <n v="-19.88"/>
    <n v="980.12"/>
    <x v="2"/>
    <x v="0"/>
    <d v="1900-01-03T00:00:00"/>
    <n v="16"/>
    <n v="0"/>
    <s v=""/>
    <n v="10.7"/>
    <n v="200"/>
    <n v="18.7"/>
    <n v="-1.1000000000000001"/>
    <n v="985.09"/>
    <n v="980.12"/>
    <d v="2020-02-05T16:01:54"/>
    <n v="1011.88"/>
    <n v="0"/>
    <d v="2020-02-05T16:42:05"/>
    <n v="1017.63"/>
    <n v="0"/>
    <e v="#N/A"/>
    <n v="-5.045224294226951E-3"/>
    <s v=""/>
    <n v="1019.44"/>
    <n v="980.12"/>
    <n v="-3.8570195401396945E-2"/>
    <n v="-10.9"/>
    <s v=""/>
    <n v="-10.9"/>
    <n v="-43.599999999999994"/>
    <n v="0"/>
    <n v="1"/>
    <s v="Non conforme"/>
    <m/>
    <m/>
    <n v="0"/>
    <n v="0"/>
    <n v="0"/>
    <s v="Non"/>
    <s v="Non"/>
    <s v="Non"/>
    <n v="1.1023000000000001"/>
    <n v="13.401766266264694"/>
    <x v="0"/>
    <s v="--"/>
    <x v="1"/>
    <n v="0"/>
    <n v="1"/>
    <m/>
    <s v=""/>
    <m/>
    <m/>
    <m/>
    <m/>
    <m/>
  </r>
  <r>
    <x v="31"/>
    <n v="259508057"/>
    <x v="0"/>
    <s v="buy"/>
    <n v="0.5"/>
    <n v="29088.35"/>
    <n v="29078.98"/>
    <n v="29268.35"/>
    <x v="31"/>
    <n v="29078.98"/>
    <n v="0"/>
    <n v="0"/>
    <n v="-4.26"/>
    <n v="32"/>
    <n v="-24.14"/>
    <n v="975.86"/>
    <x v="2"/>
    <x v="0"/>
    <d v="1900-01-03T00:00:00"/>
    <n v="16"/>
    <n v="0"/>
    <s v=""/>
    <n v="9.4"/>
    <n v="180"/>
    <n v="19.100000000000001"/>
    <n v="-0.9"/>
    <n v="980.12"/>
    <n v="975.86"/>
    <d v="2020-02-05T16:01:54"/>
    <n v="1011.88"/>
    <n v="0"/>
    <d v="2020-02-05T16:42:05"/>
    <n v="1017.63"/>
    <n v="0"/>
    <e v="#N/A"/>
    <n v="-4.3464065624617297E-3"/>
    <s v=""/>
    <n v="1019.44"/>
    <n v="975.86"/>
    <n v="-4.2748960213450538E-2"/>
    <n v="-9.4"/>
    <s v=""/>
    <n v="-9.4"/>
    <n v="-52.999999999999993"/>
    <n v="0"/>
    <n v="1"/>
    <s v="Non conforme"/>
    <m/>
    <m/>
    <n v="0"/>
    <n v="0"/>
    <n v="0"/>
    <s v="Non"/>
    <s v="Non"/>
    <s v="Non"/>
    <n v="1.1023000000000001"/>
    <n v="13.462013839946261"/>
    <x v="0"/>
    <s v="--"/>
    <x v="1"/>
    <n v="0"/>
    <n v="1"/>
    <m/>
    <n v="29268.35"/>
    <m/>
    <m/>
    <m/>
    <m/>
    <m/>
  </r>
  <r>
    <x v="32"/>
    <n v="259508510"/>
    <x v="0"/>
    <s v="buy"/>
    <n v="0.5"/>
    <n v="29086.25"/>
    <n v="29076.25"/>
    <n v="29276.25"/>
    <x v="32"/>
    <n v="29076.15"/>
    <n v="0"/>
    <n v="0"/>
    <n v="-4.59"/>
    <n v="33"/>
    <n v="-28.73"/>
    <n v="971.27"/>
    <x v="2"/>
    <x v="0"/>
    <d v="1900-01-03T00:00:00"/>
    <n v="16"/>
    <n v="0"/>
    <s v=""/>
    <n v="10"/>
    <n v="190"/>
    <n v="19"/>
    <n v="-1"/>
    <n v="975.86"/>
    <n v="971.27"/>
    <d v="2020-02-05T16:01:54"/>
    <n v="1011.88"/>
    <n v="0"/>
    <d v="2020-02-05T16:42:05"/>
    <n v="1017.63"/>
    <n v="0"/>
    <e v="#N/A"/>
    <n v="-4.7035435410817455E-3"/>
    <s v=""/>
    <n v="1019.44"/>
    <n v="971.27"/>
    <n v="-4.7251432158832318E-2"/>
    <n v="-10.1"/>
    <s v=""/>
    <n v="-10.1"/>
    <n v="-63.099999999999994"/>
    <n v="0"/>
    <n v="1"/>
    <s v="Non conforme"/>
    <m/>
    <m/>
    <n v="0"/>
    <n v="0"/>
    <n v="0"/>
    <s v="Non"/>
    <s v="Non"/>
    <s v="Non"/>
    <n v="1.1023000000000001"/>
    <n v="13.519804532470724"/>
    <x v="0"/>
    <s v="--"/>
    <x v="1"/>
    <n v="0"/>
    <n v="1"/>
    <m/>
    <n v="29276.25"/>
    <m/>
    <m/>
    <m/>
    <m/>
    <m/>
  </r>
  <r>
    <x v="33"/>
    <n v="259508571"/>
    <x v="0"/>
    <s v="buy"/>
    <n v="0.5"/>
    <n v="29076"/>
    <n v="29066.25"/>
    <m/>
    <x v="33"/>
    <n v="29065"/>
    <n v="0"/>
    <n v="0"/>
    <n v="-5"/>
    <n v="34"/>
    <n v="-33.730000000000004"/>
    <n v="966.27"/>
    <x v="2"/>
    <x v="0"/>
    <d v="1900-01-03T00:00:00"/>
    <n v="16"/>
    <n v="0"/>
    <s v=""/>
    <n v="9.8000000000000007"/>
    <n v="200"/>
    <n v="20.399999999999999"/>
    <n v="-1.1000000000000001"/>
    <n v="971.27"/>
    <n v="966.27"/>
    <d v="2020-02-05T16:01:54"/>
    <n v="1011.88"/>
    <n v="0"/>
    <d v="2020-02-05T16:42:05"/>
    <n v="1017.63"/>
    <n v="0"/>
    <e v="#N/A"/>
    <n v="-5.1478991423600032E-3"/>
    <s v=""/>
    <n v="1019.44"/>
    <n v="966.27"/>
    <n v="-5.215608569410668E-2"/>
    <n v="-11"/>
    <s v=""/>
    <n v="-11"/>
    <n v="-74.099999999999994"/>
    <n v="0"/>
    <n v="1"/>
    <s v="Non conforme"/>
    <m/>
    <m/>
    <n v="0"/>
    <n v="0"/>
    <n v="0"/>
    <s v="Non"/>
    <s v="Non"/>
    <s v="Non"/>
    <n v="1.1023000000000001"/>
    <n v="13.578909141182931"/>
    <x v="0"/>
    <s v="--"/>
    <x v="1"/>
    <n v="0"/>
    <n v="1"/>
    <m/>
    <s v=""/>
    <m/>
    <m/>
    <m/>
    <m/>
    <m/>
  </r>
  <r>
    <x v="34"/>
    <n v="259508397"/>
    <x v="0"/>
    <s v="buy"/>
    <n v="0.5"/>
    <n v="29065.23"/>
    <n v="29055.74"/>
    <n v="29265.23"/>
    <x v="34"/>
    <n v="29055.26"/>
    <n v="0"/>
    <n v="0"/>
    <n v="-4.53"/>
    <n v="35"/>
    <n v="-38.260000000000005"/>
    <n v="961.74"/>
    <x v="2"/>
    <x v="0"/>
    <d v="1900-01-03T00:00:00"/>
    <n v="16"/>
    <n v="0"/>
    <s v=""/>
    <n v="9.5"/>
    <n v="200"/>
    <n v="21.1"/>
    <n v="-1"/>
    <n v="966.27"/>
    <n v="961.74"/>
    <d v="2020-02-05T16:01:54"/>
    <n v="1011.88"/>
    <n v="0"/>
    <d v="2020-02-05T16:42:05"/>
    <n v="1017.63"/>
    <n v="0"/>
    <e v="#N/A"/>
    <n v="-4.6881306467136232E-3"/>
    <s v=""/>
    <n v="1019.44"/>
    <n v="961.74"/>
    <n v="-5.6599701797065083E-2"/>
    <n v="-10"/>
    <s v=""/>
    <n v="-10"/>
    <n v="-84.1"/>
    <n v="0"/>
    <n v="1"/>
    <s v="Non conforme"/>
    <m/>
    <m/>
    <n v="0"/>
    <n v="0"/>
    <n v="0"/>
    <s v="Non"/>
    <s v="Non"/>
    <s v="Non"/>
    <n v="1.1023000000000001"/>
    <n v="13.644117939710348"/>
    <x v="0"/>
    <s v="--"/>
    <x v="1"/>
    <n v="0"/>
    <n v="1"/>
    <m/>
    <n v="29265.23"/>
    <m/>
    <m/>
    <m/>
    <m/>
    <m/>
  </r>
  <r>
    <x v="35"/>
    <n v="259508410"/>
    <x v="0"/>
    <s v="buy"/>
    <n v="0.5"/>
    <n v="29051.23"/>
    <n v="29041.64"/>
    <m/>
    <x v="35"/>
    <n v="29041.040000000001"/>
    <n v="0"/>
    <n v="0"/>
    <n v="-4.63"/>
    <n v="36"/>
    <n v="-42.890000000000008"/>
    <n v="957.11"/>
    <x v="2"/>
    <x v="0"/>
    <d v="1900-01-03T00:00:00"/>
    <n v="16"/>
    <n v="0"/>
    <s v=""/>
    <n v="9.6"/>
    <n v="200"/>
    <n v="20.8"/>
    <n v="-1"/>
    <n v="961.74"/>
    <n v="957.11"/>
    <d v="2020-02-05T16:01:54"/>
    <n v="1011.88"/>
    <n v="0"/>
    <d v="2020-02-05T16:42:05"/>
    <n v="1017.63"/>
    <n v="0"/>
    <e v="#N/A"/>
    <n v="-4.8141909455778021E-3"/>
    <s v=""/>
    <n v="1019.44"/>
    <n v="957.11"/>
    <n v="-6.1141410970729115E-2"/>
    <n v="-10.199999999999999"/>
    <s v=""/>
    <n v="-10.199999999999999"/>
    <n v="-94.3"/>
    <n v="0"/>
    <n v="1"/>
    <s v="Non conforme"/>
    <m/>
    <m/>
    <n v="0"/>
    <n v="0"/>
    <n v="0"/>
    <s v="Non"/>
    <s v="Non"/>
    <s v="Non"/>
    <n v="1.1023000000000001"/>
    <n v="13.701781649159097"/>
    <x v="0"/>
    <s v="--"/>
    <x v="1"/>
    <n v="0"/>
    <n v="1"/>
    <m/>
    <s v=""/>
    <m/>
    <m/>
    <m/>
    <m/>
    <m/>
  </r>
  <r>
    <x v="36"/>
    <n v="259509644"/>
    <x v="0"/>
    <s v="buy"/>
    <n v="0.5"/>
    <n v="29034.2"/>
    <n v="29023.200000000001"/>
    <m/>
    <x v="36"/>
    <n v="29023.01"/>
    <n v="0"/>
    <n v="0"/>
    <n v="-5.09"/>
    <n v="37"/>
    <n v="-47.980000000000004"/>
    <n v="952.02"/>
    <x v="2"/>
    <x v="0"/>
    <d v="1900-01-03T00:00:00"/>
    <n v="16"/>
    <n v="0"/>
    <s v=""/>
    <n v="11"/>
    <n v="200"/>
    <n v="18.2"/>
    <n v="-1.1000000000000001"/>
    <n v="957.11"/>
    <n v="952.02"/>
    <d v="2020-02-05T16:01:54"/>
    <n v="1011.88"/>
    <n v="0"/>
    <d v="2020-02-05T16:42:05"/>
    <n v="1017.63"/>
    <n v="0"/>
    <e v="#N/A"/>
    <n v="-5.3180930091630343E-3"/>
    <s v=""/>
    <n v="1019.44"/>
    <n v="952.02"/>
    <n v="-6.6134348269638266E-2"/>
    <n v="-11.2"/>
    <s v=""/>
    <n v="-11.2"/>
    <n v="-105.5"/>
    <n v="0"/>
    <n v="1"/>
    <s v="Non conforme"/>
    <m/>
    <m/>
    <n v="0"/>
    <n v="0"/>
    <n v="0"/>
    <s v="Non"/>
    <s v="Non"/>
    <s v="Non"/>
    <n v="1.1023000000000001"/>
    <n v="13.759992817896247"/>
    <x v="0"/>
    <s v="--"/>
    <x v="1"/>
    <n v="0"/>
    <n v="1"/>
    <m/>
    <s v=""/>
    <m/>
    <m/>
    <m/>
    <m/>
    <m/>
  </r>
  <r>
    <x v="37"/>
    <n v="259509769"/>
    <x v="0"/>
    <s v="sell"/>
    <n v="0.5"/>
    <n v="29029.03"/>
    <n v="29039.03"/>
    <n v="28776.97"/>
    <x v="37"/>
    <n v="29033.03"/>
    <n v="0"/>
    <n v="0"/>
    <n v="-1.82"/>
    <n v="38"/>
    <n v="-49.800000000000004"/>
    <n v="950.2"/>
    <x v="2"/>
    <x v="0"/>
    <d v="1900-01-03T00:00:00"/>
    <n v="16"/>
    <n v="0"/>
    <s v=""/>
    <n v="10"/>
    <n v="252.1"/>
    <n v="25.2"/>
    <n v="-0.4"/>
    <n v="952.0200000000001"/>
    <n v="950.2"/>
    <d v="2020-02-05T16:01:54"/>
    <n v="1011.88"/>
    <n v="0"/>
    <d v="2020-02-05T16:42:05"/>
    <n v="1017.63"/>
    <n v="0"/>
    <e v="#N/A"/>
    <n v="-1.9117245436020775E-3"/>
    <s v=""/>
    <n v="1019.44"/>
    <n v="950.2"/>
    <n v="-6.7919642156478055E-2"/>
    <n v="-4"/>
    <s v=""/>
    <n v="-4"/>
    <n v="-109.5"/>
    <n v="0"/>
    <n v="1"/>
    <s v="Non conforme"/>
    <m/>
    <m/>
    <n v="0"/>
    <n v="0"/>
    <n v="0"/>
    <s v="Non"/>
    <s v="Non"/>
    <s v="Non"/>
    <n v="1.1023000000000001"/>
    <n v="13.831097696813625"/>
    <x v="0"/>
    <s v="-"/>
    <x v="1"/>
    <n v="0"/>
    <n v="1"/>
    <m/>
    <n v="28776.97"/>
    <m/>
    <m/>
    <m/>
    <m/>
    <m/>
  </r>
  <r>
    <x v="38"/>
    <n v="259510113"/>
    <x v="0"/>
    <s v="buy"/>
    <n v="0.5"/>
    <n v="29032.19"/>
    <n v="29022.19"/>
    <n v="29276.25"/>
    <x v="38"/>
    <n v="29022.19"/>
    <n v="0"/>
    <n v="0"/>
    <n v="-4.54"/>
    <n v="39"/>
    <n v="-54.34"/>
    <n v="945.66"/>
    <x v="2"/>
    <x v="0"/>
    <d v="1900-01-03T00:00:00"/>
    <n v="16"/>
    <n v="0"/>
    <s v=""/>
    <n v="10"/>
    <n v="244.1"/>
    <n v="24.4"/>
    <n v="-1"/>
    <n v="950.19999999999993"/>
    <n v="945.66"/>
    <d v="2020-02-05T16:01:54"/>
    <n v="1011.88"/>
    <n v="0"/>
    <d v="2020-02-05T16:42:05"/>
    <n v="1017.63"/>
    <n v="0"/>
    <e v="#N/A"/>
    <n v="-4.7779414860029089E-3"/>
    <s v=""/>
    <n v="1019.44"/>
    <n v="945.66"/>
    <n v="-7.2373067566507188E-2"/>
    <n v="-10"/>
    <s v=""/>
    <n v="-10"/>
    <n v="-119.5"/>
    <n v="0"/>
    <n v="1"/>
    <s v="Non conforme"/>
    <m/>
    <m/>
    <n v="0"/>
    <n v="0"/>
    <n v="0"/>
    <s v="Non"/>
    <s v="Non"/>
    <s v="Non"/>
    <n v="1.1023000000000001"/>
    <n v="13.859098080317436"/>
    <x v="0"/>
    <s v="--"/>
    <x v="1"/>
    <n v="0"/>
    <n v="1"/>
    <m/>
    <n v="29276.25"/>
    <m/>
    <m/>
    <m/>
    <m/>
    <m/>
  </r>
  <r>
    <x v="39"/>
    <n v="259510225"/>
    <x v="0"/>
    <s v="buy"/>
    <n v="0.5"/>
    <n v="29021.08"/>
    <n v="29011.08"/>
    <n v="29271.08"/>
    <x v="39"/>
    <n v="29009.99"/>
    <n v="0"/>
    <n v="0"/>
    <n v="-5.04"/>
    <n v="40"/>
    <n v="-59.38"/>
    <n v="940.62"/>
    <x v="2"/>
    <x v="0"/>
    <d v="1900-01-03T00:00:00"/>
    <n v="16"/>
    <n v="0"/>
    <s v=""/>
    <n v="10"/>
    <n v="250"/>
    <n v="25"/>
    <n v="-1.1000000000000001"/>
    <n v="945.66"/>
    <n v="940.62"/>
    <d v="2020-02-05T16:01:54"/>
    <n v="1011.88"/>
    <n v="0"/>
    <d v="2020-02-05T16:42:05"/>
    <n v="1017.63"/>
    <n v="0"/>
    <e v="#N/A"/>
    <n v="-5.3296110652876968E-3"/>
    <s v=""/>
    <n v="1019.44"/>
    <n v="940.62"/>
    <n v="-7.7316958330063579E-2"/>
    <n v="-11.1"/>
    <s v=""/>
    <n v="-11.1"/>
    <n v="-130.6"/>
    <n v="0"/>
    <n v="1"/>
    <s v="Non conforme"/>
    <m/>
    <m/>
    <n v="0"/>
    <n v="0"/>
    <n v="0"/>
    <s v="Non"/>
    <s v="Non"/>
    <s v="Non"/>
    <n v="1.1023000000000001"/>
    <n v="13.920304901313902"/>
    <x v="0"/>
    <s v="--"/>
    <x v="1"/>
    <n v="0"/>
    <n v="1"/>
    <m/>
    <n v="29271.08"/>
    <m/>
    <m/>
    <m/>
    <m/>
    <m/>
  </r>
  <r>
    <x v="40"/>
    <n v="259510869"/>
    <x v="0"/>
    <s v="buy"/>
    <n v="0.5"/>
    <n v="29012.22"/>
    <n v="29001.08"/>
    <n v="29272.22"/>
    <x v="40"/>
    <n v="29001.06"/>
    <n v="0"/>
    <n v="0"/>
    <n v="-5.07"/>
    <n v="41"/>
    <n v="-64.45"/>
    <n v="935.55"/>
    <x v="2"/>
    <x v="0"/>
    <d v="1900-01-03T00:00:00"/>
    <n v="16"/>
    <n v="0"/>
    <s v=""/>
    <n v="11.1"/>
    <n v="260"/>
    <n v="23.4"/>
    <n v="-1.1000000000000001"/>
    <n v="940.62"/>
    <n v="935.55"/>
    <d v="2020-02-05T16:01:54"/>
    <n v="1011.88"/>
    <n v="0"/>
    <d v="2020-02-05T16:42:05"/>
    <n v="1017.63"/>
    <n v="0"/>
    <e v="#N/A"/>
    <n v="-5.3900618740831052E-3"/>
    <s v=""/>
    <n v="1019.44"/>
    <n v="935.55"/>
    <n v="-8.2290277014831714E-2"/>
    <n v="-11.2"/>
    <s v=""/>
    <n v="-11.2"/>
    <n v="-141.79999999999998"/>
    <n v="0"/>
    <n v="1"/>
    <s v="Non conforme"/>
    <m/>
    <m/>
    <n v="0"/>
    <n v="0"/>
    <n v="0"/>
    <s v="Non"/>
    <s v="Non"/>
    <s v="Non"/>
    <n v="1.1023000000000001"/>
    <n v="13.990619658672246"/>
    <x v="0"/>
    <s v="--"/>
    <x v="1"/>
    <n v="0"/>
    <n v="1"/>
    <m/>
    <n v="29272.22"/>
    <m/>
    <m/>
    <m/>
    <m/>
    <m/>
  </r>
  <r>
    <x v="41"/>
    <n v="259511221"/>
    <x v="0"/>
    <s v="sell"/>
    <n v="0.5"/>
    <n v="29000.13"/>
    <n v="29009.35"/>
    <m/>
    <x v="41"/>
    <n v="29009.39"/>
    <n v="0"/>
    <n v="0"/>
    <n v="-4.21"/>
    <n v="42"/>
    <n v="-68.66"/>
    <n v="931.34"/>
    <x v="2"/>
    <x v="0"/>
    <d v="1900-01-03T00:00:00"/>
    <n v="16"/>
    <n v="0"/>
    <s v=""/>
    <n v="9.1999999999999993"/>
    <n v="200"/>
    <n v="21.7"/>
    <n v="-0.9"/>
    <n v="935.55000000000007"/>
    <n v="931.34"/>
    <d v="2020-02-05T16:01:54"/>
    <n v="1011.88"/>
    <n v="0"/>
    <d v="2020-02-05T16:42:05"/>
    <n v="1017.63"/>
    <n v="0"/>
    <e v="#N/A"/>
    <n v="-4.5000267222489827E-3"/>
    <s v=""/>
    <n v="1019.44"/>
    <n v="931.34"/>
    <n v="-8.6419995291532659E-2"/>
    <n v="-9.3000000000000007"/>
    <s v=""/>
    <n v="-9.3000000000000007"/>
    <n v="-151.1"/>
    <n v="0"/>
    <n v="1"/>
    <s v="Non conforme"/>
    <m/>
    <m/>
    <n v="0"/>
    <n v="0"/>
    <n v="0"/>
    <s v="Non"/>
    <s v="Non"/>
    <s v="Non"/>
    <n v="1.1023000000000001"/>
    <n v="14.060576853524932"/>
    <x v="0"/>
    <s v="--"/>
    <x v="1"/>
    <n v="0"/>
    <n v="1"/>
    <m/>
    <s v=""/>
    <m/>
    <m/>
    <m/>
    <m/>
    <m/>
  </r>
  <r>
    <x v="42"/>
    <n v="259511254"/>
    <x v="0"/>
    <s v="sell"/>
    <n v="0.5"/>
    <n v="29005.09"/>
    <n v="29015.09"/>
    <m/>
    <x v="42"/>
    <n v="29015.279999999999"/>
    <n v="0"/>
    <n v="0"/>
    <n v="-4.63"/>
    <n v="43"/>
    <n v="-73.289999999999992"/>
    <n v="926.71"/>
    <x v="2"/>
    <x v="0"/>
    <d v="1900-01-03T00:00:00"/>
    <n v="16"/>
    <n v="0"/>
    <s v=""/>
    <n v="10"/>
    <n v="200"/>
    <n v="20"/>
    <n v="-1"/>
    <n v="931.34"/>
    <n v="926.71"/>
    <d v="2020-02-05T16:01:54"/>
    <n v="1011.88"/>
    <n v="0"/>
    <d v="2020-02-05T16:42:05"/>
    <n v="1017.63"/>
    <n v="0"/>
    <e v="#N/A"/>
    <n v="-4.971331629694843E-3"/>
    <s v=""/>
    <n v="1019.44"/>
    <n v="926.71"/>
    <n v="-9.096170446519658E-2"/>
    <n v="-10.199999999999999"/>
    <s v=""/>
    <n v="-10.199999999999999"/>
    <n v="-161.29999999999998"/>
    <n v="0"/>
    <n v="1"/>
    <s v="Non conforme"/>
    <m/>
    <m/>
    <n v="0"/>
    <n v="0"/>
    <n v="0"/>
    <s v="Non"/>
    <s v="Non"/>
    <s v="Non"/>
    <n v="1.1023000000000001"/>
    <n v="14.126551545682878"/>
    <x v="0"/>
    <s v="--"/>
    <x v="1"/>
    <n v="0"/>
    <n v="1"/>
    <m/>
    <s v=""/>
    <m/>
    <m/>
    <m/>
    <m/>
    <m/>
  </r>
  <r>
    <x v="43"/>
    <n v="259511306"/>
    <x v="0"/>
    <s v="buy"/>
    <n v="0.5"/>
    <n v="29015.27"/>
    <n v="29004.27"/>
    <n v="29215.27"/>
    <x v="43"/>
    <n v="29215.32"/>
    <n v="0"/>
    <n v="0"/>
    <n v="90.92"/>
    <n v="44"/>
    <n v="17.63000000000001"/>
    <n v="1017.63"/>
    <x v="2"/>
    <x v="0"/>
    <d v="1900-01-03T00:00:00"/>
    <n v="19"/>
    <n v="0"/>
    <s v=""/>
    <n v="11"/>
    <n v="200"/>
    <n v="18.2"/>
    <n v="18.2"/>
    <n v="926.71"/>
    <n v="1017.63"/>
    <d v="2020-02-05T16:01:54"/>
    <n v="1011.88"/>
    <n v="0"/>
    <d v="2020-02-05T16:42:05"/>
    <n v="1017.63"/>
    <n v="1017.63"/>
    <n v="1017.63"/>
    <n v="9.8110520011654087E-2"/>
    <s v=""/>
    <n v="1019.44"/>
    <n v="1017.63"/>
    <n v="-1.775484579769393E-3"/>
    <n v="200"/>
    <n v="200"/>
    <s v=""/>
    <n v="38.700000000000017"/>
    <n v="0"/>
    <n v="1"/>
    <s v="Non conforme"/>
    <m/>
    <m/>
    <n v="0"/>
    <n v="0"/>
    <n v="0"/>
    <s v="Non"/>
    <s v="Non"/>
    <s v="Oui"/>
    <n v="1.1023000000000001"/>
    <n v="14.202112995721119"/>
    <x v="0"/>
    <s v="++"/>
    <x v="0"/>
    <n v="1"/>
    <n v="0"/>
    <m/>
    <n v="29215.27"/>
    <m/>
    <m/>
    <m/>
    <m/>
    <m/>
  </r>
  <r>
    <x v="44"/>
    <n v="259554421"/>
    <x v="0"/>
    <s v="buy"/>
    <n v="0.5"/>
    <n v="29364.560000000001"/>
    <n v="29366.06"/>
    <m/>
    <x v="44"/>
    <n v="29365.85"/>
    <n v="0"/>
    <n v="0"/>
    <n v="0.59"/>
    <n v="45"/>
    <n v="18.22000000000001"/>
    <n v="1018.22"/>
    <x v="3"/>
    <x v="0"/>
    <d v="1900-01-04T00:00:00"/>
    <n v="15"/>
    <n v="1"/>
    <n v="12"/>
    <n v="-1.5"/>
    <n v="200"/>
    <n v="20"/>
    <n v="0.1"/>
    <n v="1017.63"/>
    <n v="1018.22"/>
    <d v="2020-02-06T15:31:13"/>
    <n v="1017.63"/>
    <n v="1017.63"/>
    <d v="2020-02-06T21:07:54"/>
    <n v="1032.94"/>
    <n v="0"/>
    <e v="#N/A"/>
    <n v="5.7977850495762886E-4"/>
    <n v="1.5044760865933648E-2"/>
    <n v="1019.44"/>
    <n v="1018.22"/>
    <n v="-1.1967354626069016E-3"/>
    <n v="1.3"/>
    <n v="1.3"/>
    <s v=""/>
    <n v="40.000000000000014"/>
    <n v="0"/>
    <n v="1"/>
    <s v="Non conforme"/>
    <m/>
    <m/>
    <n v="0"/>
    <n v="0"/>
    <n v="0"/>
    <s v="Non"/>
    <s v="Oui"/>
    <s v="Non"/>
    <n v="1.1003000000000001"/>
    <n v="13.112710936722703"/>
    <x v="0"/>
    <s v="0"/>
    <x v="0"/>
    <n v="1"/>
    <n v="0"/>
    <m/>
    <s v=""/>
    <m/>
    <m/>
    <m/>
    <m/>
    <m/>
  </r>
  <r>
    <x v="45"/>
    <n v="259554948"/>
    <x v="0"/>
    <s v="buy"/>
    <n v="0.5"/>
    <n v="29378.61"/>
    <n v="29368.77"/>
    <m/>
    <x v="45"/>
    <n v="29368.63"/>
    <n v="0"/>
    <n v="0"/>
    <n v="-4.54"/>
    <n v="46"/>
    <n v="13.68000000000001"/>
    <n v="1013.6800000000001"/>
    <x v="3"/>
    <x v="0"/>
    <d v="1900-01-04T00:00:00"/>
    <n v="15"/>
    <n v="0"/>
    <s v=""/>
    <n v="9.8000000000000007"/>
    <n v="200"/>
    <n v="20.399999999999999"/>
    <n v="-1"/>
    <n v="1018.22"/>
    <n v="1013.6800000000001"/>
    <d v="2020-02-06T15:31:13"/>
    <n v="1017.63"/>
    <n v="0"/>
    <d v="2020-02-06T21:07:54"/>
    <n v="1032.94"/>
    <n v="0"/>
    <e v="#N/A"/>
    <n v="-4.4587613678772403E-3"/>
    <s v=""/>
    <n v="1019.44"/>
    <n v="1013.6800000000001"/>
    <n v="-5.6501608726359231E-3"/>
    <n v="-10"/>
    <s v=""/>
    <n v="-10"/>
    <n v="30.000000000000014"/>
    <n v="0"/>
    <n v="1"/>
    <s v="Non conforme"/>
    <m/>
    <m/>
    <n v="0"/>
    <n v="0"/>
    <n v="0"/>
    <s v="Non"/>
    <s v="Non"/>
    <s v="Non"/>
    <n v="1.1003000000000001"/>
    <n v="13.11138325009609"/>
    <x v="0"/>
    <s v="--"/>
    <x v="1"/>
    <n v="0"/>
    <n v="1"/>
    <m/>
    <s v=""/>
    <m/>
    <m/>
    <m/>
    <m/>
    <m/>
  </r>
  <r>
    <x v="46"/>
    <n v="259554995"/>
    <x v="0"/>
    <s v="buy"/>
    <n v="0.5"/>
    <n v="29366.76"/>
    <n v="29357.68"/>
    <n v="29386.76"/>
    <x v="46"/>
    <n v="29355.54"/>
    <n v="0"/>
    <n v="0"/>
    <n v="-5.0999999999999996"/>
    <n v="47"/>
    <n v="8.5800000000000107"/>
    <n v="1008.58"/>
    <x v="3"/>
    <x v="0"/>
    <d v="1900-01-04T00:00:00"/>
    <n v="15"/>
    <n v="0"/>
    <s v=""/>
    <n v="9.1"/>
    <n v="20"/>
    <n v="2.2000000000000002"/>
    <n v="-1.1000000000000001"/>
    <n v="1013.6800000000001"/>
    <n v="1008.58"/>
    <d v="2020-02-06T15:31:13"/>
    <n v="1017.63"/>
    <n v="0"/>
    <d v="2020-02-06T21:07:54"/>
    <n v="1032.94"/>
    <n v="0"/>
    <e v="#N/A"/>
    <n v="-5.0311735458922167E-3"/>
    <s v=""/>
    <n v="1019.44"/>
    <n v="1008.58"/>
    <n v="-1.0652907478615692E-2"/>
    <n v="-11.2"/>
    <s v=""/>
    <n v="-11.2"/>
    <n v="18.800000000000015"/>
    <n v="0"/>
    <n v="1"/>
    <s v="Non conforme"/>
    <m/>
    <m/>
    <n v="0"/>
    <n v="0"/>
    <n v="0"/>
    <s v="Non"/>
    <s v="Non"/>
    <s v="Non"/>
    <n v="1.1003000000000001"/>
    <n v="13.164793384385813"/>
    <x v="0"/>
    <s v="--"/>
    <x v="1"/>
    <n v="0"/>
    <n v="1"/>
    <m/>
    <n v="29386.76"/>
    <m/>
    <m/>
    <m/>
    <m/>
    <m/>
  </r>
  <r>
    <x v="47"/>
    <n v="259554398"/>
    <x v="0"/>
    <s v="buy"/>
    <n v="0.5"/>
    <n v="29344.880000000001"/>
    <n v="29335.93"/>
    <n v="29394.880000000001"/>
    <x v="47"/>
    <n v="29335.9"/>
    <n v="0"/>
    <n v="0"/>
    <n v="-4.08"/>
    <n v="48"/>
    <n v="4.5000000000000107"/>
    <n v="1004.5"/>
    <x v="3"/>
    <x v="0"/>
    <d v="1900-01-04T00:00:00"/>
    <n v="15"/>
    <n v="0"/>
    <s v=""/>
    <n v="9"/>
    <n v="50"/>
    <n v="5.6"/>
    <n v="-0.9"/>
    <n v="1008.58"/>
    <n v="1004.5"/>
    <d v="2020-02-06T15:31:13"/>
    <n v="1017.63"/>
    <n v="0"/>
    <d v="2020-02-06T21:07:54"/>
    <n v="1032.94"/>
    <n v="0"/>
    <e v="#N/A"/>
    <n v="-4.0452913997898439E-3"/>
    <s v=""/>
    <n v="1019.44"/>
    <n v="1004.5"/>
    <n v="-1.4655104763399596E-2"/>
    <n v="-9"/>
    <s v=""/>
    <n v="-9"/>
    <n v="9.8000000000000149"/>
    <n v="0"/>
    <n v="1"/>
    <s v="Non conforme"/>
    <m/>
    <m/>
    <n v="0"/>
    <n v="0"/>
    <n v="0"/>
    <s v="Non"/>
    <s v="Non"/>
    <s v="Non"/>
    <n v="1.1003000000000001"/>
    <n v="13.221504506331584"/>
    <x v="0"/>
    <s v="--"/>
    <x v="1"/>
    <n v="0"/>
    <n v="1"/>
    <m/>
    <n v="29394.880000000001"/>
    <m/>
    <m/>
    <m/>
    <m/>
    <m/>
  </r>
  <r>
    <x v="48"/>
    <n v="259555448"/>
    <x v="0"/>
    <s v="buy"/>
    <n v="0.5"/>
    <n v="29316.63"/>
    <n v="29306.74"/>
    <n v="29396.74"/>
    <x v="48"/>
    <n v="29306.61"/>
    <n v="0"/>
    <n v="0"/>
    <n v="-4.5599999999999996"/>
    <n v="49"/>
    <n v="-5.9999999999988951E-2"/>
    <n v="999.94"/>
    <x v="3"/>
    <x v="0"/>
    <d v="1900-01-04T00:00:00"/>
    <n v="15"/>
    <n v="0"/>
    <s v=""/>
    <n v="9.9"/>
    <n v="80.099999999999994"/>
    <n v="8.1"/>
    <n v="-1"/>
    <n v="1004.5"/>
    <n v="999.94"/>
    <d v="2020-02-06T15:31:13"/>
    <n v="1017.63"/>
    <n v="0"/>
    <d v="2020-02-06T21:07:54"/>
    <n v="1032.94"/>
    <n v="0"/>
    <e v="#N/A"/>
    <n v="-4.5395719263314543E-3"/>
    <s v=""/>
    <n v="1019.44"/>
    <n v="999.94"/>
    <n v="-1.9128148787569632E-2"/>
    <n v="-10"/>
    <s v=""/>
    <n v="-10"/>
    <n v="-0.19999999999998508"/>
    <n v="0"/>
    <n v="1"/>
    <s v="Non conforme"/>
    <m/>
    <m/>
    <n v="0"/>
    <n v="0"/>
    <n v="0"/>
    <s v="Non"/>
    <s v="Non"/>
    <s v="Non"/>
    <n v="1.1003000000000001"/>
    <n v="13.262426686925107"/>
    <x v="0"/>
    <s v="--"/>
    <x v="1"/>
    <n v="0"/>
    <n v="1"/>
    <m/>
    <n v="29396.74"/>
    <m/>
    <m/>
    <m/>
    <m/>
    <m/>
  </r>
  <r>
    <x v="49"/>
    <n v="259556066"/>
    <x v="0"/>
    <s v="buy"/>
    <n v="0.5"/>
    <n v="29298.84"/>
    <n v="29289.34"/>
    <n v="29399.34"/>
    <x v="49"/>
    <n v="29288.89"/>
    <n v="0"/>
    <n v="0"/>
    <n v="-4.53"/>
    <n v="50"/>
    <n v="-4.5899999999999892"/>
    <n v="995.41"/>
    <x v="3"/>
    <x v="0"/>
    <d v="1900-01-04T00:00:00"/>
    <n v="15"/>
    <n v="0"/>
    <s v=""/>
    <n v="9.5"/>
    <n v="100.5"/>
    <n v="10.6"/>
    <n v="-1"/>
    <n v="999.93999999999994"/>
    <n v="995.41"/>
    <d v="2020-02-06T15:31:13"/>
    <n v="1017.63"/>
    <n v="0"/>
    <d v="2020-02-06T21:07:54"/>
    <n v="1032.94"/>
    <n v="0"/>
    <e v="#N/A"/>
    <n v="-4.5302718163089516E-3"/>
    <s v=""/>
    <n v="1019.44"/>
    <n v="995.41"/>
    <n v="-2.3571764890528257E-2"/>
    <n v="-10"/>
    <s v=""/>
    <n v="-10"/>
    <n v="-10.199999999999985"/>
    <n v="0"/>
    <n v="1"/>
    <s v="Non conforme"/>
    <m/>
    <m/>
    <n v="0"/>
    <n v="0"/>
    <n v="0"/>
    <s v="Non"/>
    <s v="Non"/>
    <s v="Non"/>
    <n v="1.1003000000000001"/>
    <n v="13.314822337490755"/>
    <x v="0"/>
    <s v="--"/>
    <x v="1"/>
    <n v="0"/>
    <n v="1"/>
    <m/>
    <n v="29399.34"/>
    <m/>
    <m/>
    <m/>
    <m/>
    <m/>
  </r>
  <r>
    <x v="50"/>
    <n v="259555713"/>
    <x v="0"/>
    <s v="buy"/>
    <n v="0.5"/>
    <n v="29279.83"/>
    <n v="29270.720000000001"/>
    <n v="29430.720000000001"/>
    <x v="50"/>
    <n v="29270.65"/>
    <n v="0"/>
    <n v="0"/>
    <n v="-4.17"/>
    <n v="51"/>
    <n v="-8.7599999999999891"/>
    <n v="991.24"/>
    <x v="3"/>
    <x v="0"/>
    <d v="1900-01-04T00:00:00"/>
    <n v="15"/>
    <n v="0"/>
    <s v=""/>
    <n v="9.1"/>
    <n v="150.9"/>
    <n v="16.600000000000001"/>
    <n v="-0.9"/>
    <n v="995.41"/>
    <n v="991.24"/>
    <d v="2020-02-06T15:31:13"/>
    <n v="1017.63"/>
    <n v="0"/>
    <d v="2020-02-06T21:07:54"/>
    <n v="1032.94"/>
    <n v="0"/>
    <e v="#N/A"/>
    <n v="-4.1892285590861651E-3"/>
    <s v=""/>
    <n v="1019.44"/>
    <n v="991.24"/>
    <n v="-2.766224593894695E-2"/>
    <n v="-9.1999999999999993"/>
    <s v=""/>
    <n v="-9.1999999999999993"/>
    <n v="-19.399999999999984"/>
    <n v="0"/>
    <n v="1"/>
    <s v="Non conforme"/>
    <m/>
    <m/>
    <n v="0"/>
    <n v="0"/>
    <n v="0"/>
    <s v="Non"/>
    <s v="Non"/>
    <s v="Non"/>
    <n v="1.1003000000000001"/>
    <n v="13.366738223474378"/>
    <x v="0"/>
    <s v="--"/>
    <x v="1"/>
    <n v="0"/>
    <n v="1"/>
    <m/>
    <n v="29430.720000000001"/>
    <m/>
    <m/>
    <m/>
    <m/>
    <m/>
  </r>
  <r>
    <x v="51"/>
    <n v="259557729"/>
    <x v="0"/>
    <s v="buy"/>
    <n v="0.5"/>
    <n v="29275.75"/>
    <n v="29265.75"/>
    <n v="29425.75"/>
    <x v="51"/>
    <n v="29265.67"/>
    <n v="0"/>
    <n v="0"/>
    <n v="-4.58"/>
    <n v="52"/>
    <n v="-13.339999999999989"/>
    <n v="986.66"/>
    <x v="3"/>
    <x v="0"/>
    <d v="1900-01-04T00:00:00"/>
    <n v="15"/>
    <n v="0"/>
    <s v=""/>
    <n v="10"/>
    <n v="150"/>
    <n v="15"/>
    <n v="-1"/>
    <n v="991.24"/>
    <n v="986.66"/>
    <d v="2020-02-06T15:31:13"/>
    <n v="1017.63"/>
    <n v="0"/>
    <d v="2020-02-06T21:07:54"/>
    <n v="1032.94"/>
    <n v="0"/>
    <e v="#N/A"/>
    <n v="-4.6204753641903486E-3"/>
    <s v=""/>
    <n v="1019.44"/>
    <n v="986.66"/>
    <n v="-3.2154908577258223E-2"/>
    <n v="-10.1"/>
    <s v=""/>
    <n v="-10.1"/>
    <n v="-29.499999999999986"/>
    <n v="0"/>
    <n v="1"/>
    <s v="Non conforme"/>
    <m/>
    <m/>
    <n v="0"/>
    <n v="0"/>
    <n v="0"/>
    <s v="Non"/>
    <s v="Non"/>
    <s v="Non"/>
    <n v="1.1003000000000001"/>
    <n v="13.421099688492497"/>
    <x v="0"/>
    <s v="--"/>
    <x v="1"/>
    <n v="0"/>
    <n v="1"/>
    <m/>
    <n v="29425.75"/>
    <m/>
    <m/>
    <m/>
    <m/>
    <m/>
  </r>
  <r>
    <x v="52"/>
    <n v="259556802"/>
    <x v="0"/>
    <s v="buy"/>
    <n v="0.5"/>
    <n v="29261.82"/>
    <n v="29252.27"/>
    <n v="29462.27"/>
    <x v="52"/>
    <n v="29251.75"/>
    <n v="0"/>
    <n v="0"/>
    <n v="-4.58"/>
    <n v="53"/>
    <n v="-17.919999999999987"/>
    <n v="982.08"/>
    <x v="3"/>
    <x v="0"/>
    <d v="1900-01-04T00:00:00"/>
    <n v="15"/>
    <n v="0"/>
    <s v=""/>
    <n v="9.5"/>
    <n v="200.5"/>
    <n v="21.1"/>
    <n v="-1"/>
    <n v="986.66000000000008"/>
    <n v="982.08"/>
    <d v="2020-02-06T15:31:13"/>
    <n v="1017.63"/>
    <n v="0"/>
    <d v="2020-02-06T21:07:54"/>
    <n v="1032.94"/>
    <n v="0"/>
    <e v="#N/A"/>
    <n v="-4.641923256238259E-3"/>
    <s v=""/>
    <n v="1019.44"/>
    <n v="982.08"/>
    <n v="-3.6647571215569386E-2"/>
    <n v="-10.1"/>
    <s v=""/>
    <n v="-10.1"/>
    <n v="-39.599999999999987"/>
    <n v="0"/>
    <n v="1"/>
    <s v="Non conforme"/>
    <m/>
    <m/>
    <n v="0"/>
    <n v="0"/>
    <n v="0"/>
    <s v="Non"/>
    <s v="Non"/>
    <s v="Non"/>
    <n v="1.1003000000000001"/>
    <n v="13.476983726337497"/>
    <x v="0"/>
    <s v="--"/>
    <x v="1"/>
    <n v="0"/>
    <n v="1"/>
    <m/>
    <n v="29462.27"/>
    <m/>
    <m/>
    <m/>
    <m/>
    <m/>
  </r>
  <r>
    <x v="53"/>
    <n v="259558246"/>
    <x v="0"/>
    <s v="buy"/>
    <n v="0.5"/>
    <n v="29264.87"/>
    <n v="29254.87"/>
    <m/>
    <x v="53"/>
    <n v="29254.7"/>
    <n v="0"/>
    <n v="0"/>
    <n v="-4.63"/>
    <n v="54"/>
    <n v="-22.549999999999986"/>
    <n v="977.45"/>
    <x v="3"/>
    <x v="0"/>
    <d v="1900-01-04T00:00:00"/>
    <n v="15"/>
    <n v="0"/>
    <s v=""/>
    <n v="10"/>
    <n v="200"/>
    <n v="20"/>
    <n v="-1"/>
    <n v="982.08"/>
    <n v="977.45"/>
    <d v="2020-02-06T15:31:13"/>
    <n v="1017.63"/>
    <n v="0"/>
    <d v="2020-02-06T21:07:54"/>
    <n v="1032.94"/>
    <n v="0"/>
    <e v="#N/A"/>
    <n v="-4.7144835451287019E-3"/>
    <s v=""/>
    <n v="1019.44"/>
    <n v="977.45"/>
    <n v="-4.1189280389233307E-2"/>
    <n v="-10.199999999999999"/>
    <s v=""/>
    <n v="-10.199999999999999"/>
    <n v="-49.799999999999983"/>
    <n v="0"/>
    <n v="1"/>
    <s v="Non conforme"/>
    <m/>
    <m/>
    <n v="0"/>
    <n v="0"/>
    <n v="0"/>
    <s v="Non"/>
    <s v="Non"/>
    <s v="Non"/>
    <n v="1.1003000000000001"/>
    <n v="13.541245875151143"/>
    <x v="0"/>
    <s v="--"/>
    <x v="1"/>
    <n v="0"/>
    <n v="1"/>
    <m/>
    <s v=""/>
    <m/>
    <m/>
    <m/>
    <m/>
    <m/>
  </r>
  <r>
    <x v="54"/>
    <n v="259558272"/>
    <x v="0"/>
    <s v="buy"/>
    <n v="0.5"/>
    <n v="29254.75"/>
    <n v="29244.75"/>
    <n v="29404.75"/>
    <x v="54"/>
    <n v="29375.84"/>
    <n v="0"/>
    <n v="0"/>
    <n v="55.17"/>
    <n v="55"/>
    <n v="32.620000000000019"/>
    <n v="1032.6200000000001"/>
    <x v="3"/>
    <x v="0"/>
    <d v="1900-01-04T00:00:00"/>
    <n v="17"/>
    <n v="0"/>
    <s v=""/>
    <n v="10"/>
    <n v="150"/>
    <n v="15"/>
    <n v="12.1"/>
    <n v="977.45000000000016"/>
    <n v="1032.6200000000001"/>
    <d v="2020-02-06T15:31:13"/>
    <n v="1017.63"/>
    <n v="0"/>
    <d v="2020-02-06T21:07:54"/>
    <n v="1032.94"/>
    <n v="0"/>
    <e v="#N/A"/>
    <n v="5.6442784797176272E-2"/>
    <s v=""/>
    <n v="1032.6200000000001"/>
    <n v="1019.44"/>
    <s v=""/>
    <n v="121.1"/>
    <n v="121.1"/>
    <s v=""/>
    <n v="71.300000000000011"/>
    <n v="0"/>
    <n v="1"/>
    <s v="Non conforme"/>
    <m/>
    <m/>
    <n v="0"/>
    <n v="0"/>
    <n v="0"/>
    <s v="Non"/>
    <s v="Non"/>
    <s v="Non"/>
    <n v="1.1003000000000001"/>
    <n v="13.600683414263473"/>
    <x v="0"/>
    <s v="++"/>
    <x v="0"/>
    <n v="1"/>
    <n v="0"/>
    <m/>
    <n v="29404.75"/>
    <m/>
    <m/>
    <m/>
    <m/>
    <m/>
  </r>
  <r>
    <x v="55"/>
    <n v="259578962"/>
    <x v="0"/>
    <s v="buy"/>
    <n v="0.5"/>
    <n v="29384.26"/>
    <n v="29385.759999999998"/>
    <n v="29404.26"/>
    <x v="55"/>
    <n v="29384.95"/>
    <n v="0"/>
    <n v="0"/>
    <n v="0.32"/>
    <n v="56"/>
    <n v="32.940000000000019"/>
    <n v="1032.94"/>
    <x v="3"/>
    <x v="0"/>
    <d v="1900-01-04T00:00:00"/>
    <n v="21"/>
    <n v="0"/>
    <s v=""/>
    <n v="-1.5"/>
    <n v="20"/>
    <n v="2"/>
    <n v="0.1"/>
    <n v="1032.6200000000001"/>
    <n v="1032.94"/>
    <d v="2020-02-06T15:31:13"/>
    <n v="1017.63"/>
    <n v="0"/>
    <d v="2020-02-06T21:07:54"/>
    <n v="1032.94"/>
    <n v="1032.94"/>
    <n v="1032.94"/>
    <n v="3.098913443473265E-4"/>
    <s v=""/>
    <n v="1032.94"/>
    <n v="1032.6200000000001"/>
    <s v=""/>
    <n v="0.7"/>
    <n v="0.7"/>
    <s v=""/>
    <n v="72.000000000000014"/>
    <n v="0"/>
    <n v="1"/>
    <s v="Non conforme"/>
    <m/>
    <m/>
    <n v="0"/>
    <n v="0"/>
    <n v="0"/>
    <s v="Non"/>
    <s v="Oui"/>
    <s v="Non"/>
    <n v="1.1003000000000001"/>
    <n v="12.931029937933381"/>
    <x v="0"/>
    <s v="0"/>
    <x v="0"/>
    <n v="1"/>
    <n v="0"/>
    <m/>
    <n v="29404.26"/>
    <m/>
    <m/>
    <m/>
    <m/>
    <m/>
  </r>
  <r>
    <x v="56"/>
    <n v="259594355"/>
    <x v="0"/>
    <s v="buy"/>
    <n v="0.5"/>
    <n v="29252.94"/>
    <n v="29254.44"/>
    <n v="29282.94"/>
    <x v="56"/>
    <n v="29253.91"/>
    <n v="0"/>
    <n v="0"/>
    <n v="0.45"/>
    <n v="57"/>
    <n v="33.390000000000022"/>
    <n v="1033.3900000000001"/>
    <x v="4"/>
    <x v="0"/>
    <d v="1900-01-05T00:00:00"/>
    <n v="11"/>
    <n v="1"/>
    <n v="3"/>
    <n v="-1.5"/>
    <n v="30"/>
    <n v="3"/>
    <n v="0.1"/>
    <n v="1032.94"/>
    <n v="1033.3900000000001"/>
    <d v="2020-02-07T11:13:37"/>
    <n v="1032.94"/>
    <n v="1032.94"/>
    <d v="2020-02-07T14:37:05"/>
    <n v="1047.8900000000001"/>
    <n v="0"/>
    <e v="#N/A"/>
    <n v="4.3564969891769653E-4"/>
    <n v="1.4473251108486499E-2"/>
    <n v="1033.3900000000001"/>
    <n v="1032.94"/>
    <s v=""/>
    <n v="1"/>
    <n v="1"/>
    <s v=""/>
    <n v="73.000000000000014"/>
    <n v="0"/>
    <n v="1"/>
    <s v="Non conforme"/>
    <m/>
    <m/>
    <n v="0"/>
    <n v="0"/>
    <n v="0"/>
    <s v="Non"/>
    <s v="Oui"/>
    <s v="Non"/>
    <n v="1.0969"/>
    <n v="12.909142435202392"/>
    <x v="0"/>
    <s v="0"/>
    <x v="0"/>
    <n v="1"/>
    <n v="0"/>
    <m/>
    <n v="29282.94"/>
    <m/>
    <m/>
    <m/>
    <m/>
    <m/>
  </r>
  <r>
    <x v="57"/>
    <n v="259594554"/>
    <x v="0"/>
    <s v="buy"/>
    <n v="0.5"/>
    <n v="29251.66"/>
    <n v="29242.66"/>
    <n v="29302.66"/>
    <x v="57"/>
    <n v="29252.7"/>
    <n v="0"/>
    <n v="0"/>
    <n v="0.47"/>
    <n v="58"/>
    <n v="33.860000000000021"/>
    <n v="1033.8600000000001"/>
    <x v="4"/>
    <x v="0"/>
    <d v="1900-01-05T00:00:00"/>
    <n v="11"/>
    <n v="0"/>
    <s v=""/>
    <n v="9"/>
    <n v="51"/>
    <n v="5.7"/>
    <n v="0.1"/>
    <n v="1033.3900000000001"/>
    <n v="1033.8600000000001"/>
    <d v="2020-02-07T11:13:37"/>
    <n v="1032.94"/>
    <n v="0"/>
    <d v="2020-02-07T14:37:05"/>
    <n v="1047.8900000000001"/>
    <n v="0"/>
    <e v="#N/A"/>
    <n v="4.5481376827724985E-4"/>
    <s v=""/>
    <n v="1033.8600000000001"/>
    <n v="1033.3900000000001"/>
    <s v=""/>
    <n v="1"/>
    <n v="1"/>
    <s v=""/>
    <n v="74.000000000000014"/>
    <n v="0"/>
    <n v="1"/>
    <s v="Non conforme"/>
    <m/>
    <m/>
    <n v="0"/>
    <n v="0"/>
    <n v="0"/>
    <s v="Non"/>
    <s v="Non"/>
    <s v="Non"/>
    <n v="1.0969"/>
    <n v="12.90295641000278"/>
    <x v="0"/>
    <s v="0"/>
    <x v="0"/>
    <n v="1"/>
    <n v="0"/>
    <m/>
    <n v="29302.66"/>
    <m/>
    <m/>
    <m/>
    <m/>
    <m/>
  </r>
  <r>
    <x v="58"/>
    <n v="259607652"/>
    <x v="0"/>
    <s v="buy"/>
    <n v="0.5"/>
    <n v="29248.17"/>
    <n v="29249.67"/>
    <n v="29278.17"/>
    <x v="58"/>
    <n v="29278.95"/>
    <n v="0"/>
    <n v="0"/>
    <n v="14.03"/>
    <n v="59"/>
    <n v="47.890000000000022"/>
    <n v="1047.8900000000001"/>
    <x v="4"/>
    <x v="0"/>
    <d v="1900-01-05T00:00:00"/>
    <n v="14"/>
    <n v="0"/>
    <s v=""/>
    <n v="-1.5"/>
    <n v="30"/>
    <n v="3"/>
    <n v="3.1"/>
    <n v="1033.8600000000001"/>
    <n v="1047.8900000000001"/>
    <d v="2020-02-07T11:13:37"/>
    <n v="1032.94"/>
    <n v="0"/>
    <d v="2020-02-07T14:37:05"/>
    <n v="1047.8900000000001"/>
    <n v="1047.8900000000001"/>
    <n v="1047.8900000000001"/>
    <n v="1.357050277600446E-2"/>
    <s v=""/>
    <n v="1047.8900000000001"/>
    <n v="1033.8600000000001"/>
    <s v=""/>
    <n v="30.8"/>
    <n v="30.8"/>
    <s v=""/>
    <n v="104.80000000000001"/>
    <n v="0"/>
    <n v="1"/>
    <s v="Non conforme"/>
    <m/>
    <m/>
    <n v="0"/>
    <n v="0"/>
    <n v="0"/>
    <s v="Non"/>
    <s v="Oui"/>
    <s v="Oui"/>
    <n v="1.0969"/>
    <n v="12.89555189058529"/>
    <x v="0"/>
    <s v="+"/>
    <x v="0"/>
    <n v="1"/>
    <n v="0"/>
    <m/>
    <n v="29278.17"/>
    <m/>
    <m/>
    <m/>
    <m/>
    <m/>
  </r>
  <r>
    <x v="59"/>
    <n v="259684489"/>
    <x v="0"/>
    <s v="buy"/>
    <n v="0.5"/>
    <n v="29007.78"/>
    <n v="28997.78"/>
    <m/>
    <x v="59"/>
    <n v="28997.77"/>
    <n v="0"/>
    <n v="0"/>
    <n v="-4.58"/>
    <n v="60"/>
    <n v="43.310000000000024"/>
    <n v="1043.31"/>
    <x v="5"/>
    <x v="1"/>
    <d v="1900-01-01T00:00:00"/>
    <n v="15"/>
    <n v="1"/>
    <n v="19"/>
    <n v="10"/>
    <n v="200"/>
    <n v="20"/>
    <n v="-1"/>
    <n v="1047.8899999999999"/>
    <n v="1043.31"/>
    <d v="2020-02-10T15:03:54"/>
    <n v="1047.8899999999999"/>
    <n v="1047.8899999999999"/>
    <d v="2020-02-10T21:56:32"/>
    <n v="984.33"/>
    <n v="0"/>
    <e v="#N/A"/>
    <n v="-4.3706877630284935E-3"/>
    <n v="-6.0655221444998846E-2"/>
    <n v="1047.8900000000001"/>
    <n v="1043.31"/>
    <n v="-4.3706877630287355E-3"/>
    <n v="-10"/>
    <s v=""/>
    <n v="-10"/>
    <n v="94.800000000000011"/>
    <n v="0"/>
    <n v="1"/>
    <s v="Non conforme"/>
    <m/>
    <m/>
    <n v="0"/>
    <n v="0"/>
    <n v="0"/>
    <s v="Non"/>
    <s v="Non"/>
    <s v="Non"/>
    <n v="1.0951"/>
    <n v="12.639067186405249"/>
    <x v="0"/>
    <s v="--"/>
    <x v="1"/>
    <n v="0"/>
    <n v="1"/>
    <m/>
    <s v=""/>
    <m/>
    <m/>
    <m/>
    <m/>
    <m/>
  </r>
  <r>
    <x v="60"/>
    <n v="259685007"/>
    <x v="0"/>
    <s v="sell"/>
    <n v="0.5"/>
    <n v="29004.74"/>
    <n v="29014.74"/>
    <n v="28984.74"/>
    <x v="60"/>
    <n v="28983.91"/>
    <n v="0"/>
    <n v="0"/>
    <n v="9.5299999999999994"/>
    <n v="61"/>
    <n v="52.840000000000025"/>
    <n v="1052.8399999999999"/>
    <x v="5"/>
    <x v="1"/>
    <d v="1900-01-01T00:00:00"/>
    <n v="15"/>
    <n v="0"/>
    <s v=""/>
    <n v="10"/>
    <n v="20"/>
    <n v="2"/>
    <n v="2.1"/>
    <n v="1043.31"/>
    <n v="1052.8399999999999"/>
    <d v="2020-02-10T15:03:54"/>
    <n v="1047.8899999999999"/>
    <n v="0"/>
    <d v="2020-02-10T21:56:32"/>
    <n v="984.33"/>
    <n v="0"/>
    <e v="#N/A"/>
    <n v="9.1343895869875433E-3"/>
    <s v=""/>
    <n v="1052.8399999999999"/>
    <n v="1047.8900000000001"/>
    <s v=""/>
    <n v="20.8"/>
    <n v="20.8"/>
    <s v=""/>
    <n v="115.60000000000001"/>
    <n v="0"/>
    <n v="1"/>
    <s v="Non conforme"/>
    <m/>
    <m/>
    <n v="0"/>
    <n v="0"/>
    <n v="0"/>
    <s v="Non"/>
    <s v="Non"/>
    <s v="Oui"/>
    <n v="1.0951"/>
    <n v="12.693220723338611"/>
    <x v="0"/>
    <s v="+"/>
    <x v="0"/>
    <n v="1"/>
    <n v="0"/>
    <m/>
    <n v="28984.74"/>
    <m/>
    <m/>
    <m/>
    <m/>
    <m/>
  </r>
  <r>
    <x v="61"/>
    <n v="259690209"/>
    <x v="0"/>
    <s v="sell"/>
    <n v="0.5"/>
    <n v="29088.84"/>
    <n v="29098.84"/>
    <n v="28988.84"/>
    <x v="61"/>
    <n v="29098.89"/>
    <n v="0"/>
    <n v="0"/>
    <n v="-4.5999999999999996"/>
    <n v="62"/>
    <n v="48.240000000000023"/>
    <n v="1048.24"/>
    <x v="5"/>
    <x v="1"/>
    <d v="1900-01-01T00:00:00"/>
    <n v="15"/>
    <n v="0"/>
    <s v=""/>
    <n v="10"/>
    <n v="100"/>
    <n v="10"/>
    <n v="-1"/>
    <n v="1052.8399999999999"/>
    <n v="1048.24"/>
    <d v="2020-02-10T15:03:54"/>
    <n v="1047.8899999999999"/>
    <n v="0"/>
    <d v="2020-02-10T21:56:32"/>
    <n v="984.33"/>
    <n v="0"/>
    <e v="#N/A"/>
    <n v="-4.3691349112874788E-3"/>
    <s v=""/>
    <n v="1052.8399999999999"/>
    <n v="1048.24"/>
    <n v="-4.3691349112874311E-3"/>
    <n v="-10"/>
    <s v=""/>
    <n v="-10"/>
    <n v="105.60000000000001"/>
    <n v="0"/>
    <n v="1"/>
    <s v="Non conforme"/>
    <m/>
    <m/>
    <n v="0"/>
    <n v="0"/>
    <n v="0"/>
    <s v="Non"/>
    <s v="Non"/>
    <s v="Non"/>
    <n v="1.0951"/>
    <n v="12.614796581298728"/>
    <x v="0"/>
    <s v="--"/>
    <x v="1"/>
    <n v="0"/>
    <n v="1"/>
    <m/>
    <n v="28988.84"/>
    <m/>
    <m/>
    <m/>
    <m/>
    <m/>
  </r>
  <r>
    <x v="62"/>
    <n v="259690368"/>
    <x v="0"/>
    <s v="sell"/>
    <n v="0.5"/>
    <n v="29101.79"/>
    <n v="29111.79"/>
    <n v="29001.79"/>
    <x v="62"/>
    <n v="29113.07"/>
    <n v="0"/>
    <n v="0"/>
    <n v="-5.16"/>
    <n v="63"/>
    <n v="43.080000000000027"/>
    <n v="1043.08"/>
    <x v="5"/>
    <x v="1"/>
    <d v="1900-01-01T00:00:00"/>
    <n v="15"/>
    <n v="0"/>
    <s v=""/>
    <n v="10"/>
    <n v="100"/>
    <n v="10"/>
    <n v="-1.1000000000000001"/>
    <n v="1048.24"/>
    <n v="1043.08"/>
    <d v="2020-02-10T15:03:54"/>
    <n v="1047.8899999999999"/>
    <n v="0"/>
    <d v="2020-02-10T21:56:32"/>
    <n v="984.33"/>
    <n v="0"/>
    <e v="#N/A"/>
    <n v="-4.9225368236282549E-3"/>
    <s v=""/>
    <n v="1052.8399999999999"/>
    <n v="1043.08"/>
    <n v="-9.2701645074275696E-3"/>
    <n v="-11.3"/>
    <s v=""/>
    <n v="-11.3"/>
    <n v="94.300000000000011"/>
    <n v="0"/>
    <n v="1"/>
    <s v="Non conforme"/>
    <m/>
    <m/>
    <n v="0"/>
    <n v="0"/>
    <n v="0"/>
    <s v="Non"/>
    <s v="Non"/>
    <s v="Non"/>
    <n v="1.0951"/>
    <n v="12.675794793836237"/>
    <x v="0"/>
    <s v="--"/>
    <x v="1"/>
    <n v="0"/>
    <n v="1"/>
    <m/>
    <n v="29001.79"/>
    <m/>
    <m/>
    <m/>
    <m/>
    <m/>
  </r>
  <r>
    <x v="63"/>
    <n v="259690510"/>
    <x v="0"/>
    <s v="sell"/>
    <n v="0.5"/>
    <n v="29104.14"/>
    <n v="29102.639999999999"/>
    <n v="29034.14"/>
    <x v="63"/>
    <n v="29102.86"/>
    <n v="0"/>
    <n v="0"/>
    <n v="0.59"/>
    <n v="64"/>
    <n v="43.67000000000003"/>
    <n v="1043.67"/>
    <x v="5"/>
    <x v="1"/>
    <d v="1900-01-01T00:00:00"/>
    <n v="15"/>
    <n v="0"/>
    <s v=""/>
    <n v="-1.5"/>
    <n v="70"/>
    <n v="7"/>
    <n v="0.1"/>
    <n v="1043.0800000000002"/>
    <n v="1043.67"/>
    <d v="2020-02-10T15:03:54"/>
    <n v="1047.8899999999999"/>
    <n v="0"/>
    <d v="2020-02-10T21:56:32"/>
    <n v="984.33"/>
    <n v="0"/>
    <e v="#N/A"/>
    <n v="5.6563254975641188E-4"/>
    <s v=""/>
    <n v="1052.8399999999999"/>
    <n v="1043.67"/>
    <n v="-8.7097754644578362E-3"/>
    <n v="1.3"/>
    <n v="1.3"/>
    <s v=""/>
    <n v="95.600000000000009"/>
    <n v="0"/>
    <n v="1"/>
    <s v="Non conforme"/>
    <m/>
    <m/>
    <n v="0"/>
    <n v="0"/>
    <n v="0"/>
    <s v="Non"/>
    <s v="Oui"/>
    <s v="Non"/>
    <n v="1.0951"/>
    <n v="12.739529179031605"/>
    <x v="0"/>
    <s v="0"/>
    <x v="0"/>
    <n v="1"/>
    <n v="0"/>
    <m/>
    <n v="29034.14"/>
    <m/>
    <m/>
    <m/>
    <m/>
    <m/>
  </r>
  <r>
    <x v="64"/>
    <n v="259690945"/>
    <x v="0"/>
    <s v="sell"/>
    <n v="0.5"/>
    <n v="29133.81"/>
    <n v="29143.81"/>
    <m/>
    <x v="64"/>
    <n v="29144"/>
    <n v="0"/>
    <n v="0"/>
    <n v="-4.67"/>
    <n v="65"/>
    <n v="39.000000000000028"/>
    <n v="1039"/>
    <x v="5"/>
    <x v="1"/>
    <d v="1900-01-01T00:00:00"/>
    <n v="15"/>
    <n v="0"/>
    <s v=""/>
    <n v="10"/>
    <n v="200"/>
    <n v="20"/>
    <n v="-1"/>
    <n v="1043.67"/>
    <n v="1039"/>
    <d v="2020-02-10T15:03:54"/>
    <n v="1047.8899999999999"/>
    <n v="0"/>
    <d v="2020-02-10T21:56:32"/>
    <n v="984.33"/>
    <n v="0"/>
    <e v="#N/A"/>
    <n v="-4.4745944599347233E-3"/>
    <s v=""/>
    <n v="1052.8399999999999"/>
    <n v="1039"/>
    <n v="-1.3145397211352106E-2"/>
    <n v="-10.199999999999999"/>
    <s v=""/>
    <n v="-10.199999999999999"/>
    <n v="85.4"/>
    <n v="0"/>
    <n v="1"/>
    <s v="Non conforme"/>
    <m/>
    <m/>
    <n v="0"/>
    <n v="0"/>
    <n v="0"/>
    <s v="Non"/>
    <s v="Non"/>
    <s v="Non"/>
    <n v="1.0951"/>
    <n v="12.745307237084017"/>
    <x v="0"/>
    <s v="--"/>
    <x v="1"/>
    <n v="0"/>
    <n v="1"/>
    <m/>
    <s v=""/>
    <m/>
    <m/>
    <m/>
    <m/>
    <m/>
  </r>
  <r>
    <x v="65"/>
    <n v="259693490"/>
    <x v="0"/>
    <s v="sell"/>
    <n v="0.5"/>
    <n v="29152"/>
    <n v="29161.02"/>
    <n v="29051.02"/>
    <x v="65"/>
    <n v="29161.06"/>
    <n v="0"/>
    <n v="0"/>
    <n v="-4.1500000000000004"/>
    <n v="66"/>
    <n v="34.85000000000003"/>
    <n v="1034.8500000000001"/>
    <x v="5"/>
    <x v="1"/>
    <d v="1900-01-01T00:00:00"/>
    <n v="16"/>
    <n v="0"/>
    <s v=""/>
    <n v="9"/>
    <n v="101"/>
    <n v="11.2"/>
    <n v="-0.9"/>
    <n v="1039.0000000000002"/>
    <n v="1034.8500000000001"/>
    <d v="2020-02-10T15:03:54"/>
    <n v="1047.8899999999999"/>
    <n v="0"/>
    <d v="2020-02-10T21:56:32"/>
    <n v="984.33"/>
    <n v="0"/>
    <e v="#N/A"/>
    <n v="-3.9942252165544659E-3"/>
    <s v=""/>
    <n v="1052.8399999999999"/>
    <n v="1034.8500000000001"/>
    <n v="-1.7087116750883147E-2"/>
    <n v="-9.1"/>
    <s v=""/>
    <n v="-9.1"/>
    <n v="76.300000000000011"/>
    <n v="0"/>
    <n v="1"/>
    <s v="Non conforme"/>
    <m/>
    <m/>
    <n v="0"/>
    <n v="0"/>
    <n v="0"/>
    <s v="Non"/>
    <s v="Non"/>
    <s v="Non"/>
    <n v="1.0951"/>
    <n v="12.810587085405992"/>
    <x v="0"/>
    <s v="--"/>
    <x v="1"/>
    <n v="0"/>
    <n v="1"/>
    <m/>
    <n v="29051.02"/>
    <m/>
    <m/>
    <m/>
    <m/>
    <m/>
  </r>
  <r>
    <x v="66"/>
    <n v="259693607"/>
    <x v="0"/>
    <s v="sell"/>
    <n v="0.5"/>
    <n v="29155.79"/>
    <n v="29165.79"/>
    <n v="29055.79"/>
    <x v="66"/>
    <n v="29165.8"/>
    <n v="0"/>
    <n v="0"/>
    <n v="-4.59"/>
    <n v="67"/>
    <n v="30.26000000000003"/>
    <n v="1030.26"/>
    <x v="5"/>
    <x v="1"/>
    <d v="1900-01-01T00:00:00"/>
    <n v="16"/>
    <n v="0"/>
    <s v=""/>
    <n v="10"/>
    <n v="100"/>
    <n v="10"/>
    <n v="-1"/>
    <n v="1034.8499999999999"/>
    <n v="1030.26"/>
    <d v="2020-02-10T15:03:54"/>
    <n v="1047.8899999999999"/>
    <n v="0"/>
    <d v="2020-02-10T21:56:32"/>
    <n v="984.33"/>
    <n v="0"/>
    <e v="#N/A"/>
    <n v="-4.4354254239744101E-3"/>
    <s v=""/>
    <n v="1052.8399999999999"/>
    <n v="1030.26"/>
    <n v="-2.1446753542798458E-2"/>
    <n v="-10"/>
    <s v=""/>
    <n v="-10"/>
    <n v="66.300000000000011"/>
    <n v="0"/>
    <n v="1"/>
    <s v="Non conforme"/>
    <m/>
    <m/>
    <n v="0"/>
    <n v="0"/>
    <n v="0"/>
    <s v="Non"/>
    <s v="Non"/>
    <s v="Non"/>
    <n v="1.0951"/>
    <n v="12.863632813754156"/>
    <x v="0"/>
    <s v="--"/>
    <x v="1"/>
    <n v="0"/>
    <n v="1"/>
    <m/>
    <n v="29055.79"/>
    <m/>
    <m/>
    <m/>
    <m/>
    <m/>
  </r>
  <r>
    <x v="67"/>
    <n v="259692989"/>
    <x v="0"/>
    <s v="sell"/>
    <n v="0.5"/>
    <n v="29166.959999999999"/>
    <n v="29176.959999999999"/>
    <n v="29066.959999999999"/>
    <x v="67"/>
    <n v="29176.97"/>
    <n v="0"/>
    <n v="0"/>
    <n v="-4.58"/>
    <n v="68"/>
    <n v="25.680000000000028"/>
    <n v="1025.68"/>
    <x v="5"/>
    <x v="1"/>
    <d v="1900-01-01T00:00:00"/>
    <n v="16"/>
    <n v="0"/>
    <s v=""/>
    <n v="10"/>
    <n v="100"/>
    <n v="10"/>
    <n v="-1"/>
    <n v="1030.26"/>
    <n v="1025.68"/>
    <d v="2020-02-10T15:03:54"/>
    <n v="1047.8899999999999"/>
    <n v="0"/>
    <d v="2020-02-10T21:56:32"/>
    <n v="984.33"/>
    <n v="0"/>
    <e v="#N/A"/>
    <n v="-4.4454797818025815E-3"/>
    <s v=""/>
    <n v="1052.8399999999999"/>
    <n v="1025.68"/>
    <n v="-2.5796892215341205E-2"/>
    <n v="-10"/>
    <s v=""/>
    <n v="-10"/>
    <n v="56.300000000000011"/>
    <n v="0"/>
    <n v="1"/>
    <s v="Non conforme"/>
    <m/>
    <m/>
    <n v="0"/>
    <n v="0"/>
    <n v="0"/>
    <s v="Non"/>
    <s v="Non"/>
    <s v="Non"/>
    <n v="1.0951"/>
    <n v="12.925892889350166"/>
    <x v="0"/>
    <s v="--"/>
    <x v="1"/>
    <n v="0"/>
    <n v="1"/>
    <m/>
    <n v="29066.959999999999"/>
    <m/>
    <m/>
    <m/>
    <m/>
    <m/>
  </r>
  <r>
    <x v="68"/>
    <n v="259694194"/>
    <x v="0"/>
    <s v="sell"/>
    <n v="0.5"/>
    <n v="29172.93"/>
    <n v="29182.93"/>
    <n v="29022.93"/>
    <x v="68"/>
    <n v="29183.09"/>
    <n v="0"/>
    <n v="0"/>
    <n v="-4.6500000000000004"/>
    <n v="69"/>
    <n v="21.03000000000003"/>
    <n v="1021.0300000000001"/>
    <x v="5"/>
    <x v="1"/>
    <d v="1900-01-01T00:00:00"/>
    <n v="16"/>
    <n v="0"/>
    <s v=""/>
    <n v="10"/>
    <n v="150"/>
    <n v="15"/>
    <n v="-1"/>
    <n v="1025.68"/>
    <n v="1021.03"/>
    <d v="2020-02-10T15:03:54"/>
    <n v="1047.8899999999999"/>
    <n v="0"/>
    <d v="2020-02-10T21:56:32"/>
    <n v="984.33"/>
    <n v="0"/>
    <e v="#N/A"/>
    <n v="-4.5335777240465749E-3"/>
    <s v=""/>
    <n v="1052.8399999999999"/>
    <n v="1021.0300000000001"/>
    <n v="-3.0213517723490568E-2"/>
    <n v="-10.199999999999999"/>
    <s v=""/>
    <n v="-10.199999999999999"/>
    <n v="46.100000000000009"/>
    <n v="0"/>
    <n v="1"/>
    <s v="Non conforme"/>
    <m/>
    <m/>
    <n v="0"/>
    <n v="0"/>
    <n v="0"/>
    <s v="Non"/>
    <s v="Non"/>
    <s v="Non"/>
    <n v="1.0951"/>
    <n v="12.986268803768837"/>
    <x v="0"/>
    <s v="--"/>
    <x v="1"/>
    <n v="0"/>
    <n v="1"/>
    <m/>
    <n v="29022.93"/>
    <m/>
    <m/>
    <m/>
    <m/>
    <m/>
  </r>
  <r>
    <x v="69"/>
    <n v="259694452"/>
    <x v="0"/>
    <s v="sell"/>
    <n v="0.5"/>
    <n v="29175.11"/>
    <n v="29185.11"/>
    <n v="29055.11"/>
    <x v="69"/>
    <n v="29185.11"/>
    <n v="0"/>
    <n v="0"/>
    <n v="-4.57"/>
    <n v="70"/>
    <n v="16.460000000000029"/>
    <n v="1016.46"/>
    <x v="5"/>
    <x v="1"/>
    <d v="1900-01-01T00:00:00"/>
    <n v="16"/>
    <n v="0"/>
    <s v=""/>
    <n v="10"/>
    <n v="120"/>
    <n v="12"/>
    <n v="-1"/>
    <n v="1021.0300000000001"/>
    <n v="1016.46"/>
    <d v="2020-02-10T15:03:54"/>
    <n v="1047.8899999999999"/>
    <n v="0"/>
    <d v="2020-02-10T21:56:32"/>
    <n v="984.33"/>
    <n v="0"/>
    <e v="#N/A"/>
    <n v="-4.4758724033574426E-3"/>
    <s v=""/>
    <n v="1052.8399999999999"/>
    <n v="1016.46"/>
    <n v="-3.4554158276661084E-2"/>
    <n v="-10"/>
    <s v=""/>
    <n v="-10"/>
    <n v="36.100000000000009"/>
    <n v="0"/>
    <n v="1"/>
    <s v="Non conforme"/>
    <m/>
    <m/>
    <n v="0"/>
    <n v="0"/>
    <n v="0"/>
    <s v="Non"/>
    <s v="Non"/>
    <s v="Non"/>
    <n v="1.0951"/>
    <n v="13.04638603130239"/>
    <x v="0"/>
    <s v="--"/>
    <x v="1"/>
    <n v="0"/>
    <n v="1"/>
    <m/>
    <n v="29055.11"/>
    <m/>
    <m/>
    <m/>
    <m/>
    <m/>
  </r>
  <r>
    <x v="70"/>
    <n v="259695310"/>
    <x v="0"/>
    <s v="sell"/>
    <n v="0.5"/>
    <n v="29184.9"/>
    <n v="29194.9"/>
    <n v="29054.9"/>
    <x v="70"/>
    <n v="29195.14"/>
    <n v="0"/>
    <n v="0"/>
    <n v="-4.68"/>
    <n v="71"/>
    <n v="11.78000000000003"/>
    <n v="1011.78"/>
    <x v="5"/>
    <x v="1"/>
    <d v="1900-01-01T00:00:00"/>
    <n v="16"/>
    <n v="0"/>
    <s v=""/>
    <n v="10"/>
    <n v="130"/>
    <n v="13"/>
    <n v="-1"/>
    <n v="1016.4599999999999"/>
    <n v="1011.78"/>
    <d v="2020-02-10T15:03:54"/>
    <n v="1047.8899999999999"/>
    <n v="0"/>
    <d v="2020-02-10T21:56:32"/>
    <n v="984.33"/>
    <n v="0"/>
    <e v="#N/A"/>
    <n v="-4.6042146272356511E-3"/>
    <s v=""/>
    <n v="1052.8399999999999"/>
    <n v="1011.78"/>
    <n v="-3.8999278142927696E-2"/>
    <n v="-10.199999999999999"/>
    <s v=""/>
    <n v="-10.199999999999999"/>
    <n v="25.900000000000009"/>
    <n v="0"/>
    <n v="1"/>
    <s v="Non conforme"/>
    <m/>
    <m/>
    <n v="0"/>
    <n v="0"/>
    <n v="0"/>
    <s v="Non"/>
    <s v="Non"/>
    <s v="Oui"/>
    <n v="1.0951"/>
    <n v="13.10944005761594"/>
    <x v="0"/>
    <s v="--"/>
    <x v="1"/>
    <n v="0"/>
    <n v="1"/>
    <m/>
    <n v="29054.9"/>
    <m/>
    <m/>
    <m/>
    <m/>
    <m/>
  </r>
  <r>
    <x v="71"/>
    <n v="259696313"/>
    <x v="0"/>
    <s v="sell"/>
    <n v="0.5"/>
    <n v="29206.86"/>
    <n v="29216.400000000001"/>
    <n v="29056.400000000001"/>
    <x v="71"/>
    <n v="29216.98"/>
    <n v="0"/>
    <n v="0"/>
    <n v="-4.63"/>
    <n v="72"/>
    <n v="7.1500000000000297"/>
    <n v="1007.15"/>
    <x v="5"/>
    <x v="1"/>
    <d v="1900-01-01T00:00:00"/>
    <n v="16"/>
    <n v="0"/>
    <s v=""/>
    <n v="9.5"/>
    <n v="150.5"/>
    <n v="15.8"/>
    <n v="-1"/>
    <n v="1011.78"/>
    <n v="1007.15"/>
    <d v="2020-02-10T15:03:54"/>
    <n v="1047.8899999999999"/>
    <n v="0"/>
    <d v="2020-02-10T21:56:32"/>
    <n v="984.33"/>
    <n v="0"/>
    <e v="#N/A"/>
    <n v="-4.5760936171895033E-3"/>
    <s v=""/>
    <n v="1052.8399999999999"/>
    <n v="1007.15"/>
    <n v="-4.3396907412332264E-2"/>
    <n v="-10.1"/>
    <s v=""/>
    <n v="-10.1"/>
    <n v="15.80000000000001"/>
    <n v="0"/>
    <n v="1"/>
    <s v="Non conforme"/>
    <m/>
    <m/>
    <n v="0"/>
    <n v="0"/>
    <n v="0"/>
    <s v="Non"/>
    <s v="Non"/>
    <s v="Oui"/>
    <n v="1.0951"/>
    <n v="13.179987667837029"/>
    <x v="0"/>
    <s v="--"/>
    <x v="1"/>
    <n v="0"/>
    <n v="1"/>
    <m/>
    <n v="29056.400000000001"/>
    <m/>
    <m/>
    <m/>
    <m/>
    <m/>
  </r>
  <r>
    <x v="72"/>
    <n v="259697827"/>
    <x v="0"/>
    <s v="sell"/>
    <n v="0.5"/>
    <n v="29225.93"/>
    <n v="29235.93"/>
    <n v="29102.74"/>
    <x v="72"/>
    <n v="29236.240000000002"/>
    <n v="0"/>
    <n v="0"/>
    <n v="-4.7300000000000004"/>
    <n v="73"/>
    <n v="2.4200000000000292"/>
    <n v="1002.4200000000001"/>
    <x v="5"/>
    <x v="1"/>
    <d v="1900-01-01T00:00:00"/>
    <n v="21"/>
    <n v="0"/>
    <s v=""/>
    <n v="10"/>
    <n v="123.2"/>
    <n v="12.3"/>
    <n v="-1"/>
    <n v="1007.1500000000001"/>
    <n v="1002.4200000000001"/>
    <d v="2020-02-10T15:03:54"/>
    <n v="1047.8899999999999"/>
    <n v="0"/>
    <d v="2020-02-10T21:56:32"/>
    <n v="984.33"/>
    <n v="0"/>
    <e v="#N/A"/>
    <n v="-4.6964205927617709E-3"/>
    <s v=""/>
    <n v="1052.8399999999999"/>
    <n v="1002.4200000000001"/>
    <n v="-4.7889517875460474E-2"/>
    <n v="-10.3"/>
    <s v=""/>
    <n v="-10.3"/>
    <n v="5.5000000000000089"/>
    <n v="0"/>
    <n v="1"/>
    <s v="Non conforme"/>
    <m/>
    <m/>
    <n v="0"/>
    <n v="0"/>
    <n v="0"/>
    <s v="Non"/>
    <s v="Non"/>
    <s v="Non"/>
    <n v="1.0951"/>
    <n v="13.249222945901193"/>
    <x v="0"/>
    <s v="--"/>
    <x v="1"/>
    <n v="0"/>
    <n v="1"/>
    <m/>
    <n v="29102.74"/>
    <m/>
    <m/>
    <m/>
    <m/>
    <m/>
  </r>
  <r>
    <x v="73"/>
    <n v="259714825"/>
    <x v="0"/>
    <s v="sell"/>
    <n v="0.5"/>
    <n v="29241.23"/>
    <n v="29239.73"/>
    <n v="29141.23"/>
    <x v="73"/>
    <n v="29240.18"/>
    <n v="0"/>
    <n v="0"/>
    <n v="0.49"/>
    <n v="74"/>
    <n v="2.9100000000000295"/>
    <n v="1002.9100000000001"/>
    <x v="5"/>
    <x v="1"/>
    <d v="1900-01-01T00:00:00"/>
    <n v="21"/>
    <n v="0"/>
    <s v=""/>
    <n v="-1.5"/>
    <n v="100"/>
    <n v="10"/>
    <n v="0.1"/>
    <n v="1002.4200000000001"/>
    <n v="1002.9100000000001"/>
    <d v="2020-02-10T15:03:54"/>
    <n v="1047.8899999999999"/>
    <n v="0"/>
    <d v="2020-02-10T21:56:32"/>
    <n v="984.33"/>
    <n v="0"/>
    <e v="#N/A"/>
    <n v="4.8881706270825504E-4"/>
    <s v=""/>
    <n v="1052.8399999999999"/>
    <n v="1002.9100000000001"/>
    <n v="-4.7424110026214605E-2"/>
    <n v="1"/>
    <n v="1"/>
    <s v=""/>
    <n v="6.5000000000000089"/>
    <n v="0"/>
    <n v="1"/>
    <s v="Non conforme"/>
    <m/>
    <m/>
    <n v="0"/>
    <n v="0"/>
    <n v="0"/>
    <s v="Non"/>
    <s v="Oui"/>
    <s v="Non"/>
    <n v="1.0951"/>
    <n v="13.318709276923963"/>
    <x v="0"/>
    <s v="0"/>
    <x v="0"/>
    <n v="1"/>
    <n v="0"/>
    <m/>
    <n v="29141.23"/>
    <m/>
    <m/>
    <m/>
    <m/>
    <m/>
  </r>
  <r>
    <x v="74"/>
    <n v="259716018"/>
    <x v="0"/>
    <s v="sell"/>
    <n v="0.5"/>
    <n v="29237.22"/>
    <n v="29247.22"/>
    <n v="29207.22"/>
    <x v="74"/>
    <n v="29247.31"/>
    <n v="0"/>
    <n v="0"/>
    <n v="-4.63"/>
    <n v="75"/>
    <n v="-1.7199999999999704"/>
    <n v="998.28"/>
    <x v="5"/>
    <x v="1"/>
    <d v="1900-01-01T00:00:00"/>
    <n v="21"/>
    <n v="0"/>
    <s v=""/>
    <n v="10"/>
    <n v="30"/>
    <n v="3"/>
    <n v="-1"/>
    <n v="1002.91"/>
    <n v="998.28"/>
    <d v="2020-02-10T15:03:54"/>
    <n v="1047.8899999999999"/>
    <n v="0"/>
    <d v="2020-02-10T21:56:32"/>
    <n v="984.33"/>
    <n v="0"/>
    <e v="#N/A"/>
    <n v="-4.6165657935407917E-3"/>
    <s v=""/>
    <n v="1052.8399999999999"/>
    <n v="998.28"/>
    <n v="-5.1821739295619396E-2"/>
    <n v="-10.1"/>
    <s v=""/>
    <n v="-10.1"/>
    <n v="-3.5999999999999908"/>
    <n v="0"/>
    <n v="1"/>
    <s v="Non conforme"/>
    <m/>
    <m/>
    <n v="0"/>
    <n v="0"/>
    <n v="0"/>
    <s v="Non"/>
    <s v="Non"/>
    <s v="Non"/>
    <n v="1.0951"/>
    <n v="13.31037647480805"/>
    <x v="0"/>
    <s v="--"/>
    <x v="1"/>
    <n v="0"/>
    <n v="1"/>
    <m/>
    <n v="29207.22"/>
    <m/>
    <m/>
    <m/>
    <m/>
    <m/>
  </r>
  <r>
    <x v="75"/>
    <n v="259716050"/>
    <x v="0"/>
    <s v="sell"/>
    <n v="0.5"/>
    <n v="29245.24"/>
    <n v="29255.24"/>
    <n v="29205.24"/>
    <x v="75"/>
    <n v="29255.48"/>
    <n v="0"/>
    <n v="0"/>
    <n v="-4.6900000000000004"/>
    <n v="76"/>
    <n v="-6.4099999999999708"/>
    <n v="993.59"/>
    <x v="5"/>
    <x v="1"/>
    <d v="1900-01-01T00:00:00"/>
    <n v="21"/>
    <n v="0"/>
    <s v=""/>
    <n v="10"/>
    <n v="40"/>
    <n v="4"/>
    <n v="-1"/>
    <n v="998.28000000000009"/>
    <n v="993.59"/>
    <d v="2020-02-10T15:03:54"/>
    <n v="1047.8899999999999"/>
    <n v="0"/>
    <d v="2020-02-10T21:56:32"/>
    <n v="984.33"/>
    <n v="0"/>
    <e v="#N/A"/>
    <n v="-4.698080698801994E-3"/>
    <s v=""/>
    <n v="1052.8399999999999"/>
    <n v="993.59"/>
    <n v="-5.6276357281258238E-2"/>
    <n v="-10.199999999999999"/>
    <s v=""/>
    <n v="-10.199999999999999"/>
    <n v="-13.79999999999999"/>
    <n v="0"/>
    <n v="1"/>
    <s v="Non conforme"/>
    <m/>
    <m/>
    <n v="0"/>
    <n v="0"/>
    <n v="0"/>
    <s v="Non"/>
    <s v="Non"/>
    <s v="Non"/>
    <n v="1.0951"/>
    <n v="13.375777774170077"/>
    <x v="0"/>
    <s v="--"/>
    <x v="1"/>
    <n v="0"/>
    <n v="1"/>
    <m/>
    <n v="29205.24"/>
    <m/>
    <m/>
    <m/>
    <m/>
    <m/>
  </r>
  <r>
    <x v="76"/>
    <n v="259716124"/>
    <x v="0"/>
    <s v="sell"/>
    <n v="0.5"/>
    <n v="29250.41"/>
    <n v="29260.41"/>
    <n v="29200.41"/>
    <x v="76"/>
    <n v="29260.43"/>
    <n v="0"/>
    <n v="0"/>
    <n v="-4.59"/>
    <n v="77"/>
    <n v="-10.999999999999972"/>
    <n v="989"/>
    <x v="5"/>
    <x v="1"/>
    <d v="1900-01-01T00:00:00"/>
    <n v="21"/>
    <n v="0"/>
    <s v=""/>
    <n v="10"/>
    <n v="50"/>
    <n v="5"/>
    <n v="-1"/>
    <n v="993.59"/>
    <n v="989"/>
    <d v="2020-02-10T15:03:54"/>
    <n v="1047.8899999999999"/>
    <n v="0"/>
    <d v="2020-02-10T21:56:32"/>
    <n v="984.33"/>
    <n v="0"/>
    <e v="#N/A"/>
    <n v="-4.6196117110679771E-3"/>
    <s v=""/>
    <n v="1052.8399999999999"/>
    <n v="989"/>
    <n v="-6.0635994073173438E-2"/>
    <n v="-10"/>
    <s v=""/>
    <n v="-10"/>
    <n v="-23.79999999999999"/>
    <n v="0"/>
    <n v="1"/>
    <s v="Non conforme"/>
    <m/>
    <m/>
    <n v="0"/>
    <n v="0"/>
    <n v="0"/>
    <s v="Non"/>
    <s v="Non"/>
    <s v="Non"/>
    <n v="1.0951"/>
    <n v="13.441290624321866"/>
    <x v="0"/>
    <s v="--"/>
    <x v="1"/>
    <n v="0"/>
    <n v="1"/>
    <m/>
    <n v="29200.41"/>
    <m/>
    <m/>
    <m/>
    <m/>
    <m/>
  </r>
  <r>
    <x v="77"/>
    <n v="259716178"/>
    <x v="0"/>
    <s v="sell"/>
    <n v="0.5"/>
    <n v="29254.2"/>
    <n v="29264.2"/>
    <n v="29154.2"/>
    <x v="77"/>
    <n v="29264.400000000001"/>
    <n v="0"/>
    <n v="0"/>
    <n v="-4.67"/>
    <n v="78"/>
    <n v="-15.669999999999972"/>
    <n v="984.33"/>
    <x v="5"/>
    <x v="1"/>
    <d v="1900-01-01T00:00:00"/>
    <n v="21"/>
    <n v="0"/>
    <s v=""/>
    <n v="10"/>
    <n v="100"/>
    <n v="10"/>
    <n v="-1"/>
    <n v="989"/>
    <n v="984.33"/>
    <d v="2020-02-10T15:03:54"/>
    <n v="1047.8899999999999"/>
    <n v="0"/>
    <d v="2020-02-10T21:56:32"/>
    <n v="984.33"/>
    <n v="984.33"/>
    <n v="984.33"/>
    <n v="-4.7219413549039017E-3"/>
    <s v=""/>
    <n v="1052.8399999999999"/>
    <n v="984.33"/>
    <n v="-6.5071615820067485E-2"/>
    <n v="-10.199999999999999"/>
    <s v=""/>
    <n v="-10.199999999999999"/>
    <n v="-33.999999999999986"/>
    <n v="0"/>
    <n v="1"/>
    <s v="Non conforme"/>
    <m/>
    <m/>
    <n v="0"/>
    <n v="0"/>
    <n v="0"/>
    <s v="Non"/>
    <s v="Non"/>
    <s v="Non"/>
    <n v="1.0951"/>
    <n v="13.505422029319133"/>
    <x v="0"/>
    <s v="--"/>
    <x v="1"/>
    <n v="0"/>
    <n v="1"/>
    <m/>
    <n v="29154.2"/>
    <m/>
    <m/>
    <m/>
    <m/>
    <m/>
  </r>
  <r>
    <x v="78"/>
    <n v="259755497"/>
    <x v="0"/>
    <s v="buy"/>
    <n v="0.5"/>
    <n v="29384.55"/>
    <n v="29376.74"/>
    <m/>
    <x v="78"/>
    <n v="29372.45"/>
    <n v="0"/>
    <n v="0"/>
    <n v="-5.54"/>
    <n v="79"/>
    <n v="-21.209999999999972"/>
    <n v="978.79000000000008"/>
    <x v="6"/>
    <x v="1"/>
    <d v="1900-01-02T00:00:00"/>
    <n v="15"/>
    <n v="1"/>
    <n v="14"/>
    <n v="7.8"/>
    <n v="200"/>
    <n v="25.6"/>
    <n v="-1.2"/>
    <n v="984.33"/>
    <n v="978.79000000000008"/>
    <d v="2020-02-11T15:31:39"/>
    <n v="984.33"/>
    <n v="984.33"/>
    <d v="2020-02-11T21:10:14"/>
    <n v="921.11"/>
    <n v="0"/>
    <e v="#N/A"/>
    <n v="-5.6281937967957527E-3"/>
    <n v="-6.4226428128777976E-2"/>
    <n v="1052.8399999999999"/>
    <n v="978.79000000000008"/>
    <n v="-7.0333573952357287E-2"/>
    <n v="-12.1"/>
    <s v=""/>
    <n v="-12.1"/>
    <n v="-46.099999999999987"/>
    <n v="0"/>
    <n v="1"/>
    <s v="Non conforme"/>
    <m/>
    <m/>
    <n v="0"/>
    <n v="0"/>
    <n v="0"/>
    <s v="Non"/>
    <s v="Non"/>
    <s v="Non"/>
    <n v="1.0901000000000001"/>
    <n v="13.692475968623729"/>
    <x v="0"/>
    <s v="--"/>
    <x v="1"/>
    <n v="0"/>
    <n v="1"/>
    <m/>
    <s v=""/>
    <m/>
    <m/>
    <m/>
    <m/>
    <m/>
  </r>
  <r>
    <x v="79"/>
    <n v="259755997"/>
    <x v="0"/>
    <s v="buy"/>
    <n v="0.5"/>
    <n v="29369.47"/>
    <n v="29359.47"/>
    <n v="29419.47"/>
    <x v="79"/>
    <n v="29358.49"/>
    <n v="0"/>
    <n v="0"/>
    <n v="-5.03"/>
    <n v="80"/>
    <n v="-26.239999999999974"/>
    <n v="973.76"/>
    <x v="6"/>
    <x v="1"/>
    <d v="1900-01-02T00:00:00"/>
    <n v="15"/>
    <n v="0"/>
    <s v=""/>
    <n v="10"/>
    <n v="50"/>
    <n v="5"/>
    <n v="-1.1000000000000001"/>
    <n v="978.79"/>
    <n v="973.76"/>
    <d v="2020-02-11T15:31:39"/>
    <n v="984.33"/>
    <n v="0"/>
    <d v="2020-02-11T21:10:14"/>
    <n v="921.11"/>
    <n v="0"/>
    <e v="#N/A"/>
    <n v="-5.138998150777974E-3"/>
    <s v=""/>
    <n v="1052.8399999999999"/>
    <n v="973.76"/>
    <n v="-7.5111127996656646E-2"/>
    <n v="-11"/>
    <s v=""/>
    <n v="-11"/>
    <n v="-57.099999999999987"/>
    <n v="0"/>
    <n v="1"/>
    <s v="Non conforme"/>
    <m/>
    <m/>
    <n v="0"/>
    <n v="0"/>
    <n v="0"/>
    <s v="Non"/>
    <s v="Non"/>
    <s v="Non"/>
    <n v="1.0901000000000001"/>
    <n v="13.762909381553992"/>
    <x v="0"/>
    <s v="--"/>
    <x v="1"/>
    <n v="0"/>
    <n v="1"/>
    <m/>
    <n v="29419.47"/>
    <m/>
    <m/>
    <m/>
    <m/>
    <m/>
  </r>
  <r>
    <x v="80"/>
    <n v="259756261"/>
    <x v="0"/>
    <s v="buy"/>
    <n v="0.5"/>
    <n v="29362.61"/>
    <n v="29352.61"/>
    <m/>
    <x v="80"/>
    <n v="29352.42"/>
    <n v="0"/>
    <n v="0"/>
    <n v="-4.67"/>
    <n v="81"/>
    <n v="-30.909999999999975"/>
    <n v="969.09"/>
    <x v="6"/>
    <x v="1"/>
    <d v="1900-01-02T00:00:00"/>
    <n v="15"/>
    <n v="0"/>
    <s v=""/>
    <n v="10"/>
    <n v="200"/>
    <n v="20"/>
    <n v="-1"/>
    <n v="973.76"/>
    <n v="969.09"/>
    <d v="2020-02-11T15:31:39"/>
    <n v="984.33"/>
    <n v="0"/>
    <d v="2020-02-11T21:10:14"/>
    <n v="921.11"/>
    <n v="0"/>
    <e v="#N/A"/>
    <n v="-4.7958429181728136E-3"/>
    <s v=""/>
    <n v="1052.8399999999999"/>
    <n v="969.09"/>
    <n v="-7.9546749743550693E-2"/>
    <n v="-10.199999999999999"/>
    <s v=""/>
    <n v="-10.199999999999999"/>
    <n v="-67.299999999999983"/>
    <n v="0"/>
    <n v="1"/>
    <s v="Non conforme"/>
    <m/>
    <m/>
    <n v="0"/>
    <n v="0"/>
    <n v="0"/>
    <s v="Non"/>
    <s v="Non"/>
    <s v="Non"/>
    <n v="1.0901000000000001"/>
    <n v="13.830771004405769"/>
    <x v="0"/>
    <s v="--"/>
    <x v="1"/>
    <n v="0"/>
    <n v="1"/>
    <m/>
    <s v=""/>
    <m/>
    <m/>
    <m/>
    <m/>
    <m/>
  </r>
  <r>
    <x v="81"/>
    <n v="259756438"/>
    <x v="0"/>
    <s v="buy"/>
    <n v="0.5"/>
    <n v="29346.63"/>
    <n v="29336.63"/>
    <m/>
    <x v="81"/>
    <n v="29336.53"/>
    <n v="0"/>
    <n v="0"/>
    <n v="-4.63"/>
    <n v="82"/>
    <n v="-35.539999999999978"/>
    <n v="964.46"/>
    <x v="6"/>
    <x v="1"/>
    <d v="1900-01-02T00:00:00"/>
    <n v="15"/>
    <n v="0"/>
    <s v=""/>
    <n v="10"/>
    <n v="200"/>
    <n v="20"/>
    <n v="-1"/>
    <n v="969.09"/>
    <n v="964.46"/>
    <d v="2020-02-11T15:31:39"/>
    <n v="984.33"/>
    <n v="0"/>
    <d v="2020-02-11T21:10:14"/>
    <n v="921.11"/>
    <n v="0"/>
    <e v="#N/A"/>
    <n v="-4.7776780278405463E-3"/>
    <s v=""/>
    <n v="1052.8399999999999"/>
    <n v="964.46"/>
    <n v="-8.3944379012955372E-2"/>
    <n v="-10.1"/>
    <s v=""/>
    <n v="-10.1"/>
    <n v="-77.399999999999977"/>
    <n v="0"/>
    <n v="1"/>
    <s v="Non conforme"/>
    <m/>
    <m/>
    <n v="0"/>
    <n v="0"/>
    <n v="0"/>
    <s v="Non"/>
    <s v="Non"/>
    <s v="Non"/>
    <n v="1.0901000000000001"/>
    <n v="13.889857464695153"/>
    <x v="0"/>
    <s v="--"/>
    <x v="1"/>
    <n v="0"/>
    <n v="1"/>
    <m/>
    <s v=""/>
    <m/>
    <m/>
    <m/>
    <m/>
    <m/>
  </r>
  <r>
    <x v="82"/>
    <n v="259756754"/>
    <x v="0"/>
    <s v="buy"/>
    <n v="0.5"/>
    <n v="29334.58"/>
    <n v="29324.560000000001"/>
    <m/>
    <x v="82"/>
    <n v="29324.41"/>
    <n v="0"/>
    <n v="0"/>
    <n v="-4.66"/>
    <n v="83"/>
    <n v="-40.199999999999974"/>
    <n v="959.80000000000007"/>
    <x v="6"/>
    <x v="1"/>
    <d v="1900-01-02T00:00:00"/>
    <n v="15"/>
    <n v="0"/>
    <s v=""/>
    <n v="10"/>
    <n v="200"/>
    <n v="20"/>
    <n v="-1"/>
    <n v="964.46"/>
    <n v="959.80000000000007"/>
    <d v="2020-02-11T15:31:39"/>
    <n v="984.33"/>
    <n v="0"/>
    <d v="2020-02-11T21:10:14"/>
    <n v="921.11"/>
    <n v="0"/>
    <e v="#N/A"/>
    <n v="-4.8317193040664907E-3"/>
    <s v=""/>
    <n v="1052.8399999999999"/>
    <n v="959.80000000000007"/>
    <n v="-8.8370502640477078E-2"/>
    <n v="-10.199999999999999"/>
    <s v=""/>
    <n v="-10.199999999999999"/>
    <n v="-87.59999999999998"/>
    <n v="0"/>
    <n v="1"/>
    <s v="Non conforme"/>
    <m/>
    <m/>
    <n v="0"/>
    <n v="0"/>
    <n v="0"/>
    <s v="Non"/>
    <s v="Non"/>
    <s v="Non"/>
    <n v="1.0901000000000001"/>
    <n v="13.950806621934888"/>
    <x v="0"/>
    <s v="--"/>
    <x v="1"/>
    <n v="0"/>
    <n v="1"/>
    <m/>
    <s v=""/>
    <m/>
    <m/>
    <m/>
    <m/>
    <m/>
  </r>
  <r>
    <x v="83"/>
    <n v="259755855"/>
    <x v="0"/>
    <s v="buy"/>
    <n v="0.5"/>
    <n v="29317.34"/>
    <n v="29307.34"/>
    <n v="29517.34"/>
    <x v="83"/>
    <n v="29306.68"/>
    <n v="0"/>
    <n v="0"/>
    <n v="-4.88"/>
    <n v="84"/>
    <n v="-45.079999999999977"/>
    <n v="954.92000000000007"/>
    <x v="6"/>
    <x v="1"/>
    <d v="1900-01-02T00:00:00"/>
    <n v="17"/>
    <n v="0"/>
    <s v=""/>
    <n v="10"/>
    <n v="200"/>
    <n v="20"/>
    <n v="-1.1000000000000001"/>
    <n v="959.80000000000007"/>
    <n v="954.92000000000007"/>
    <d v="2020-02-11T15:31:39"/>
    <n v="984.33"/>
    <n v="0"/>
    <d v="2020-02-11T21:10:14"/>
    <n v="921.11"/>
    <n v="0"/>
    <e v="#N/A"/>
    <n v="-5.0843925817878671E-3"/>
    <s v=""/>
    <n v="1052.8399999999999"/>
    <n v="954.92000000000007"/>
    <n v="-9.3005584894190862E-2"/>
    <n v="-10.7"/>
    <s v=""/>
    <n v="-10.7"/>
    <n v="-98.299999999999983"/>
    <n v="0"/>
    <n v="1"/>
    <s v="Non conforme"/>
    <m/>
    <m/>
    <n v="0"/>
    <n v="0"/>
    <n v="0"/>
    <s v="Non"/>
    <s v="Non"/>
    <s v="Non"/>
    <n v="1.0901000000000001"/>
    <n v="14.010301545292963"/>
    <x v="0"/>
    <s v="--"/>
    <x v="1"/>
    <n v="0"/>
    <n v="1"/>
    <m/>
    <n v="29517.34"/>
    <m/>
    <m/>
    <m/>
    <m/>
    <m/>
  </r>
  <r>
    <x v="84"/>
    <n v="259771742"/>
    <x v="0"/>
    <s v="buy"/>
    <n v="0.5"/>
    <n v="29286.75"/>
    <n v="29275.759999999998"/>
    <m/>
    <x v="84"/>
    <n v="29275.47"/>
    <n v="0"/>
    <n v="0"/>
    <n v="-5.17"/>
    <n v="85"/>
    <n v="-50.249999999999979"/>
    <n v="949.75"/>
    <x v="6"/>
    <x v="1"/>
    <d v="1900-01-02T00:00:00"/>
    <n v="17"/>
    <n v="0"/>
    <s v=""/>
    <n v="11"/>
    <n v="200"/>
    <n v="18.2"/>
    <n v="-1.1000000000000001"/>
    <n v="954.92"/>
    <n v="949.75"/>
    <d v="2020-02-11T15:31:39"/>
    <n v="984.33"/>
    <n v="0"/>
    <d v="2020-02-11T21:10:14"/>
    <n v="921.11"/>
    <n v="0"/>
    <e v="#N/A"/>
    <n v="-5.4140660997779493E-3"/>
    <s v=""/>
    <n v="1052.8399999999999"/>
    <n v="949.75"/>
    <n v="-9.7916112609703232E-2"/>
    <n v="-11.3"/>
    <s v=""/>
    <n v="-11.3"/>
    <n v="-109.59999999999998"/>
    <n v="0"/>
    <n v="1"/>
    <s v="Non conforme"/>
    <m/>
    <m/>
    <n v="0"/>
    <n v="0"/>
    <n v="0"/>
    <s v="Non"/>
    <s v="Non"/>
    <s v="Non"/>
    <n v="1.0901000000000001"/>
    <n v="14.067206258442484"/>
    <x v="0"/>
    <s v="--"/>
    <x v="1"/>
    <n v="0"/>
    <n v="1"/>
    <m/>
    <s v=""/>
    <m/>
    <m/>
    <m/>
    <m/>
    <m/>
  </r>
  <r>
    <x v="85"/>
    <n v="259772002"/>
    <x v="0"/>
    <s v="buy"/>
    <n v="0.5"/>
    <n v="29274.49"/>
    <n v="29264.49"/>
    <m/>
    <x v="85"/>
    <n v="29263.55"/>
    <n v="0"/>
    <n v="0"/>
    <n v="-5.01"/>
    <n v="86"/>
    <n v="-55.259999999999977"/>
    <n v="944.74"/>
    <x v="6"/>
    <x v="1"/>
    <d v="1900-01-02T00:00:00"/>
    <n v="17"/>
    <n v="0"/>
    <s v=""/>
    <n v="10"/>
    <n v="200"/>
    <n v="20"/>
    <n v="-1.1000000000000001"/>
    <n v="949.75"/>
    <n v="944.74"/>
    <d v="2020-02-11T15:31:39"/>
    <n v="984.33"/>
    <n v="0"/>
    <d v="2020-02-11T21:10:14"/>
    <n v="921.11"/>
    <n v="0"/>
    <e v="#N/A"/>
    <n v="-5.2750723874703774E-3"/>
    <s v=""/>
    <n v="1052.8399999999999"/>
    <n v="944.74"/>
    <n v="-0.10267467041525769"/>
    <n v="-10.9"/>
    <s v=""/>
    <n v="-10.9"/>
    <n v="-120.49999999999999"/>
    <n v="0"/>
    <n v="1"/>
    <s v="Non conforme"/>
    <m/>
    <m/>
    <n v="0"/>
    <n v="0"/>
    <n v="0"/>
    <s v="Non"/>
    <s v="Non"/>
    <s v="Non"/>
    <n v="1.0901000000000001"/>
    <n v="14.137860766521078"/>
    <x v="0"/>
    <s v="--"/>
    <x v="1"/>
    <n v="0"/>
    <n v="1"/>
    <m/>
    <s v=""/>
    <m/>
    <m/>
    <m/>
    <m/>
    <m/>
  </r>
  <r>
    <x v="86"/>
    <n v="259772188"/>
    <x v="0"/>
    <s v="buy"/>
    <n v="0.5"/>
    <n v="29269.77"/>
    <n v="29271.27"/>
    <n v="29529.77"/>
    <x v="86"/>
    <n v="29270.99"/>
    <n v="0"/>
    <n v="0"/>
    <n v="0.56000000000000005"/>
    <n v="87"/>
    <n v="-54.699999999999974"/>
    <n v="945.30000000000007"/>
    <x v="6"/>
    <x v="1"/>
    <d v="1900-01-02T00:00:00"/>
    <n v="20"/>
    <n v="0"/>
    <s v=""/>
    <n v="-1.5"/>
    <n v="260"/>
    <n v="26"/>
    <n v="0.1"/>
    <n v="944.74000000000012"/>
    <n v="945.30000000000007"/>
    <d v="2020-02-11T15:31:39"/>
    <n v="984.33"/>
    <n v="0"/>
    <d v="2020-02-11T21:10:14"/>
    <n v="921.11"/>
    <n v="0"/>
    <e v="#N/A"/>
    <n v="5.9275567881104366E-4"/>
    <s v=""/>
    <n v="1052.8399999999999"/>
    <n v="945.30000000000007"/>
    <n v="-0.1021427757304052"/>
    <n v="1.2"/>
    <n v="1.2"/>
    <s v=""/>
    <n v="-119.29999999999998"/>
    <n v="0"/>
    <n v="1"/>
    <s v="Non conforme"/>
    <m/>
    <m/>
    <n v="0"/>
    <n v="0"/>
    <n v="0"/>
    <s v="Non"/>
    <s v="Oui"/>
    <s v="Non"/>
    <n v="1.0901000000000001"/>
    <n v="14.210542926103447"/>
    <x v="0"/>
    <s v="0"/>
    <x v="0"/>
    <n v="1"/>
    <n v="0"/>
    <m/>
    <n v="29529.77"/>
    <m/>
    <m/>
    <m/>
    <m/>
    <m/>
  </r>
  <r>
    <x v="87"/>
    <n v="259780592"/>
    <x v="0"/>
    <s v="buy"/>
    <n v="0.5"/>
    <n v="29268.81"/>
    <n v="29258.81"/>
    <m/>
    <x v="87"/>
    <n v="29257.75"/>
    <n v="0"/>
    <n v="0"/>
    <n v="-5.0599999999999996"/>
    <n v="88"/>
    <n v="-59.759999999999977"/>
    <n v="940.24"/>
    <x v="6"/>
    <x v="1"/>
    <d v="1900-01-02T00:00:00"/>
    <n v="20"/>
    <n v="0"/>
    <s v=""/>
    <n v="10"/>
    <n v="200"/>
    <n v="20"/>
    <n v="-1.1000000000000001"/>
    <n v="945.3"/>
    <n v="940.24"/>
    <d v="2020-02-11T15:31:39"/>
    <n v="984.33"/>
    <n v="0"/>
    <d v="2020-02-11T21:10:14"/>
    <n v="921.11"/>
    <n v="0"/>
    <e v="#N/A"/>
    <n v="-5.3527980535279232E-3"/>
    <s v=""/>
    <n v="1052.8399999999999"/>
    <n v="940.24"/>
    <n v="-0.10694882413282158"/>
    <n v="-11.1"/>
    <s v=""/>
    <n v="-11.1"/>
    <n v="-130.39999999999998"/>
    <n v="0"/>
    <n v="1"/>
    <s v="Non conforme"/>
    <m/>
    <m/>
    <n v="0"/>
    <n v="0"/>
    <n v="0"/>
    <s v="Non"/>
    <s v="Non"/>
    <s v="Non"/>
    <n v="1.0901000000000001"/>
    <n v="14.201658729960254"/>
    <x v="0"/>
    <s v="--"/>
    <x v="1"/>
    <n v="0"/>
    <n v="1"/>
    <m/>
    <s v=""/>
    <m/>
    <m/>
    <m/>
    <m/>
    <m/>
  </r>
  <r>
    <x v="88"/>
    <n v="259780787"/>
    <x v="0"/>
    <s v="buy"/>
    <n v="0.5"/>
    <n v="29270.94"/>
    <n v="29260.94"/>
    <n v="29530.94"/>
    <x v="88"/>
    <n v="29259.79"/>
    <n v="0"/>
    <n v="0"/>
    <n v="-5.1100000000000003"/>
    <n v="89"/>
    <n v="-64.869999999999976"/>
    <n v="935.13"/>
    <x v="6"/>
    <x v="1"/>
    <d v="1900-01-02T00:00:00"/>
    <n v="21"/>
    <n v="0"/>
    <s v=""/>
    <n v="10"/>
    <n v="260"/>
    <n v="26"/>
    <n v="-1.1000000000000001"/>
    <n v="940.24"/>
    <n v="935.13"/>
    <d v="2020-02-11T15:31:39"/>
    <n v="984.33"/>
    <n v="0"/>
    <d v="2020-02-11T21:10:14"/>
    <n v="921.11"/>
    <n v="0"/>
    <e v="#N/A"/>
    <n v="-5.4347826086956668E-3"/>
    <s v=""/>
    <n v="1052.8399999999999"/>
    <n v="935.13"/>
    <n v="-0.11180236313209979"/>
    <n v="-11.1"/>
    <s v=""/>
    <n v="-11.1"/>
    <n v="-141.49999999999997"/>
    <n v="0"/>
    <n v="1"/>
    <s v="Non conforme"/>
    <m/>
    <m/>
    <n v="0"/>
    <n v="0"/>
    <n v="0"/>
    <s v="Non"/>
    <s v="Non"/>
    <s v="Non"/>
    <n v="1.0901000000000001"/>
    <n v="14.279125512657314"/>
    <x v="0"/>
    <s v="--"/>
    <x v="1"/>
    <n v="0"/>
    <n v="1"/>
    <m/>
    <n v="29530.94"/>
    <m/>
    <m/>
    <m/>
    <m/>
    <m/>
  </r>
  <r>
    <x v="89"/>
    <n v="259782778"/>
    <x v="0"/>
    <s v="buy"/>
    <n v="0.5"/>
    <n v="29263.69"/>
    <n v="29253.69"/>
    <m/>
    <x v="89"/>
    <n v="29253.69"/>
    <n v="0"/>
    <n v="0"/>
    <n v="-4.58"/>
    <n v="90"/>
    <n v="-69.449999999999974"/>
    <n v="930.55000000000007"/>
    <x v="6"/>
    <x v="1"/>
    <d v="1900-01-02T00:00:00"/>
    <n v="21"/>
    <n v="0"/>
    <s v=""/>
    <n v="10"/>
    <n v="200"/>
    <n v="20"/>
    <n v="-1"/>
    <n v="935.13000000000011"/>
    <n v="930.55000000000007"/>
    <d v="2020-02-11T15:31:39"/>
    <n v="984.33"/>
    <n v="0"/>
    <d v="2020-02-11T21:10:14"/>
    <n v="921.11"/>
    <n v="0"/>
    <e v="#N/A"/>
    <n v="-4.8977147562371441E-3"/>
    <s v=""/>
    <n v="1052.8399999999999"/>
    <n v="930.55000000000007"/>
    <n v="-0.11615250180464254"/>
    <n v="-10"/>
    <s v=""/>
    <n v="-10"/>
    <n v="-151.49999999999997"/>
    <n v="0"/>
    <n v="1"/>
    <s v="Non conforme"/>
    <m/>
    <m/>
    <n v="0"/>
    <n v="0"/>
    <n v="0"/>
    <s v="Non"/>
    <s v="Non"/>
    <s v="Non"/>
    <n v="1.0901000000000001"/>
    <n v="14.353597455999195"/>
    <x v="0"/>
    <s v="--"/>
    <x v="1"/>
    <n v="0"/>
    <n v="1"/>
    <m/>
    <s v=""/>
    <m/>
    <m/>
    <m/>
    <m/>
    <m/>
  </r>
  <r>
    <x v="90"/>
    <n v="259782944"/>
    <x v="0"/>
    <s v="buy"/>
    <n v="0.5"/>
    <n v="29255.06"/>
    <n v="29245.06"/>
    <m/>
    <x v="90"/>
    <n v="29244.71"/>
    <n v="0"/>
    <n v="0"/>
    <n v="-4.74"/>
    <n v="91"/>
    <n v="-74.189999999999969"/>
    <n v="925.81000000000006"/>
    <x v="6"/>
    <x v="1"/>
    <d v="1900-01-02T00:00:00"/>
    <n v="21"/>
    <n v="0"/>
    <s v=""/>
    <n v="10"/>
    <n v="200"/>
    <n v="20"/>
    <n v="-1"/>
    <n v="930.55000000000007"/>
    <n v="925.81000000000006"/>
    <d v="2020-02-11T15:31:39"/>
    <n v="984.33"/>
    <n v="0"/>
    <d v="2020-02-11T21:10:14"/>
    <n v="921.11"/>
    <n v="0"/>
    <e v="#N/A"/>
    <n v="-5.0937617538015243E-3"/>
    <s v=""/>
    <n v="1052.8399999999999"/>
    <n v="925.81000000000006"/>
    <n v="-0.1206546103871432"/>
    <n v="-10.4"/>
    <s v=""/>
    <n v="-10.4"/>
    <n v="-161.89999999999998"/>
    <n v="0"/>
    <n v="1"/>
    <s v="Non conforme"/>
    <m/>
    <m/>
    <n v="0"/>
    <n v="0"/>
    <n v="0"/>
    <s v="Non"/>
    <s v="Non"/>
    <s v="Non"/>
    <n v="1.0901000000000001"/>
    <n v="14.41998950790801"/>
    <x v="0"/>
    <s v="--"/>
    <x v="1"/>
    <n v="0"/>
    <n v="1"/>
    <m/>
    <s v=""/>
    <m/>
    <m/>
    <m/>
    <m/>
    <m/>
  </r>
  <r>
    <x v="91"/>
    <n v="259783008"/>
    <x v="0"/>
    <s v="buy"/>
    <n v="0.5"/>
    <n v="29251.03"/>
    <n v="29241.03"/>
    <n v="29551.03"/>
    <x v="91"/>
    <n v="29240.78"/>
    <n v="0"/>
    <n v="0"/>
    <n v="-4.7"/>
    <n v="92"/>
    <n v="-78.889999999999972"/>
    <n v="921.11"/>
    <x v="6"/>
    <x v="1"/>
    <d v="1900-01-02T00:00:00"/>
    <n v="21"/>
    <n v="0"/>
    <s v=""/>
    <n v="10"/>
    <n v="300"/>
    <n v="30"/>
    <n v="-1"/>
    <n v="925.81000000000006"/>
    <n v="921.11"/>
    <d v="2020-02-11T15:31:39"/>
    <n v="984.33"/>
    <n v="0"/>
    <d v="2020-02-11T21:10:14"/>
    <n v="921.11"/>
    <n v="921.11"/>
    <n v="921.11"/>
    <n v="-5.0766355947765148E-3"/>
    <s v=""/>
    <n v="1052.8399999999999"/>
    <n v="921.11"/>
    <n v="-0.1251187264921545"/>
    <n v="-10.3"/>
    <s v=""/>
    <n v="-10.3"/>
    <n v="-172.2"/>
    <n v="0"/>
    <n v="1"/>
    <s v="Non conforme"/>
    <m/>
    <m/>
    <n v="0"/>
    <n v="0"/>
    <n v="0"/>
    <s v="Non"/>
    <s v="Non"/>
    <s v="Non"/>
    <n v="1.0901000000000001"/>
    <n v="14.491820980885437"/>
    <x v="0"/>
    <s v="--"/>
    <x v="1"/>
    <n v="0"/>
    <n v="1"/>
    <m/>
    <n v="29551.03"/>
    <m/>
    <m/>
    <m/>
    <m/>
    <m/>
  </r>
  <r>
    <x v="92"/>
    <n v="259810614"/>
    <x v="0"/>
    <s v="buy"/>
    <n v="0.5"/>
    <n v="29391.97"/>
    <n v="29381.97"/>
    <n v="29531.97"/>
    <x v="92"/>
    <n v="29381.75"/>
    <n v="0"/>
    <n v="0"/>
    <n v="-4.68"/>
    <n v="93"/>
    <n v="-83.569999999999965"/>
    <n v="916.43000000000006"/>
    <x v="7"/>
    <x v="1"/>
    <d v="1900-01-03T00:00:00"/>
    <n v="11"/>
    <n v="1"/>
    <n v="6"/>
    <n v="10"/>
    <n v="140"/>
    <n v="14"/>
    <n v="-1"/>
    <n v="921.11"/>
    <n v="916.43000000000006"/>
    <d v="2020-02-12T11:29:10"/>
    <n v="921.11"/>
    <n v="921.11"/>
    <d v="2020-02-12T16:31:44"/>
    <n v="920.68000000000006"/>
    <n v="0"/>
    <e v="#N/A"/>
    <n v="-5.0808263942416759E-3"/>
    <n v="-4.6682806613754056E-4"/>
    <n v="1052.8399999999999"/>
    <n v="916.43000000000006"/>
    <n v="-0.12956384635842089"/>
    <n v="-10.199999999999999"/>
    <s v=""/>
    <n v="-10.199999999999999"/>
    <n v="-182.39999999999998"/>
    <n v="0"/>
    <n v="1"/>
    <s v="Non conforme"/>
    <m/>
    <m/>
    <n v="0"/>
    <n v="0"/>
    <n v="0"/>
    <s v="Non"/>
    <s v="Non"/>
    <s v="Non"/>
    <n v="1.0913999999999999"/>
    <n v="14.618514852988273"/>
    <x v="0"/>
    <s v="--"/>
    <x v="1"/>
    <n v="0"/>
    <n v="1"/>
    <m/>
    <n v="29531.97"/>
    <m/>
    <m/>
    <m/>
    <m/>
    <m/>
  </r>
  <r>
    <x v="93"/>
    <n v="259810788"/>
    <x v="0"/>
    <s v="buy"/>
    <n v="0.5"/>
    <n v="29383.91"/>
    <n v="29385.41"/>
    <n v="29524.11"/>
    <x v="93"/>
    <n v="29424.03"/>
    <n v="0"/>
    <n v="0"/>
    <n v="18.39"/>
    <n v="94"/>
    <n v="-65.179999999999964"/>
    <n v="934.82"/>
    <x v="7"/>
    <x v="1"/>
    <d v="1900-01-03T00:00:00"/>
    <n v="14"/>
    <n v="0"/>
    <s v=""/>
    <n v="-1.5"/>
    <n v="140.19999999999999"/>
    <n v="14"/>
    <n v="4"/>
    <n v="916.43000000000006"/>
    <n v="934.82"/>
    <d v="2020-02-12T11:29:10"/>
    <n v="921.11"/>
    <n v="0"/>
    <d v="2020-02-12T16:31:44"/>
    <n v="920.68000000000006"/>
    <n v="0"/>
    <e v="#N/A"/>
    <n v="2.0066999116135423E-2"/>
    <s v=""/>
    <n v="1052.8399999999999"/>
    <n v="934.82"/>
    <n v="-0.11209680483264306"/>
    <n v="40.1"/>
    <n v="40.1"/>
    <s v=""/>
    <n v="-142.29999999999998"/>
    <n v="0"/>
    <n v="1"/>
    <s v="Non conforme"/>
    <m/>
    <m/>
    <n v="0"/>
    <n v="0"/>
    <n v="0"/>
    <s v="Non"/>
    <s v="Oui"/>
    <s v="Non"/>
    <n v="1.0913999999999999"/>
    <n v="14.68913906266341"/>
    <x v="0"/>
    <s v="+"/>
    <x v="0"/>
    <n v="1"/>
    <n v="0"/>
    <m/>
    <n v="29524.11"/>
    <m/>
    <m/>
    <m/>
    <m/>
    <m/>
  </r>
  <r>
    <x v="94"/>
    <n v="259830163"/>
    <x v="0"/>
    <s v="sell"/>
    <n v="0.5"/>
    <n v="29484.06"/>
    <n v="29495.07"/>
    <m/>
    <x v="94"/>
    <n v="29495.13"/>
    <n v="0"/>
    <n v="0"/>
    <n v="-5.09"/>
    <n v="95"/>
    <n v="-70.269999999999968"/>
    <n v="929.73"/>
    <x v="7"/>
    <x v="1"/>
    <d v="1900-01-03T00:00:00"/>
    <n v="16"/>
    <n v="0"/>
    <s v=""/>
    <n v="11"/>
    <n v="200"/>
    <n v="18.2"/>
    <n v="-1.1000000000000001"/>
    <n v="934.82"/>
    <n v="929.73"/>
    <d v="2020-02-12T11:29:10"/>
    <n v="921.11"/>
    <n v="0"/>
    <d v="2020-02-12T16:31:44"/>
    <n v="920.68000000000006"/>
    <n v="0"/>
    <e v="#N/A"/>
    <n v="-5.4448984831304758E-3"/>
    <s v=""/>
    <n v="1052.8399999999999"/>
    <n v="929.73"/>
    <n v="-0.11693134759317647"/>
    <n v="-11.1"/>
    <s v=""/>
    <n v="-11.1"/>
    <n v="-153.39999999999998"/>
    <n v="0"/>
    <n v="1"/>
    <s v="Non conforme"/>
    <m/>
    <m/>
    <n v="0"/>
    <n v="0"/>
    <n v="0"/>
    <s v="Non"/>
    <s v="Non"/>
    <s v="Non"/>
    <n v="1.0913999999999999"/>
    <n v="14.449251350937564"/>
    <x v="0"/>
    <s v="--"/>
    <x v="1"/>
    <n v="0"/>
    <n v="1"/>
    <m/>
    <s v=""/>
    <m/>
    <m/>
    <m/>
    <m/>
    <m/>
  </r>
  <r>
    <x v="95"/>
    <n v="259830299"/>
    <x v="0"/>
    <s v="sell"/>
    <n v="0.5"/>
    <n v="29492.97"/>
    <n v="29503.25"/>
    <m/>
    <x v="95"/>
    <n v="29503.34"/>
    <n v="0"/>
    <n v="0"/>
    <n v="-4.7699999999999996"/>
    <n v="96"/>
    <n v="-75.039999999999964"/>
    <n v="924.96"/>
    <x v="7"/>
    <x v="1"/>
    <d v="1900-01-03T00:00:00"/>
    <n v="16"/>
    <n v="0"/>
    <s v=""/>
    <n v="10.3"/>
    <n v="200"/>
    <n v="19.399999999999999"/>
    <n v="-1"/>
    <n v="929.73"/>
    <n v="924.96"/>
    <d v="2020-02-12T11:29:10"/>
    <n v="921.11"/>
    <n v="0"/>
    <d v="2020-02-12T16:31:44"/>
    <n v="920.68000000000006"/>
    <n v="0"/>
    <e v="#N/A"/>
    <n v="-5.1305217643831886E-3"/>
    <s v=""/>
    <n v="1052.8399999999999"/>
    <n v="924.96"/>
    <n v="-0.12146195053379416"/>
    <n v="-10.4"/>
    <s v=""/>
    <n v="-10.4"/>
    <n v="-163.79999999999998"/>
    <n v="0"/>
    <n v="1"/>
    <s v="Non conforme"/>
    <m/>
    <m/>
    <n v="0"/>
    <n v="0"/>
    <n v="0"/>
    <s v="Non"/>
    <s v="Non"/>
    <s v="Non"/>
    <n v="1.0913999999999999"/>
    <n v="14.532747207277962"/>
    <x v="0"/>
    <s v="--"/>
    <x v="1"/>
    <n v="0"/>
    <n v="1"/>
    <m/>
    <s v=""/>
    <m/>
    <m/>
    <m/>
    <m/>
    <m/>
  </r>
  <r>
    <x v="96"/>
    <n v="259830377"/>
    <x v="0"/>
    <s v="sell"/>
    <n v="0.5"/>
    <n v="29501.01"/>
    <n v="29511.01"/>
    <n v="29401.01"/>
    <x v="96"/>
    <n v="29511.07"/>
    <n v="0"/>
    <n v="0"/>
    <n v="-4.62"/>
    <n v="97"/>
    <n v="-79.659999999999968"/>
    <n v="920.34"/>
    <x v="7"/>
    <x v="1"/>
    <d v="1900-01-03T00:00:00"/>
    <n v="16"/>
    <n v="0"/>
    <s v=""/>
    <n v="10"/>
    <n v="100"/>
    <n v="10"/>
    <n v="-1"/>
    <n v="924.96"/>
    <n v="920.34"/>
    <d v="2020-02-12T11:29:10"/>
    <n v="921.11"/>
    <n v="0"/>
    <d v="2020-02-12T16:31:44"/>
    <n v="920.68000000000006"/>
    <n v="0"/>
    <e v="#N/A"/>
    <n v="-4.9948105864037412E-3"/>
    <s v=""/>
    <n v="1052.8399999999999"/>
    <n v="920.34"/>
    <n v="-0.1258500816838265"/>
    <n v="-10.1"/>
    <s v=""/>
    <n v="-10.1"/>
    <n v="-173.89999999999998"/>
    <n v="0"/>
    <n v="1"/>
    <s v="Non conforme"/>
    <m/>
    <m/>
    <n v="0"/>
    <n v="0"/>
    <n v="0"/>
    <s v="Non"/>
    <s v="Non"/>
    <s v="Non"/>
    <n v="1.0913999999999999"/>
    <n v="14.611674454590919"/>
    <x v="0"/>
    <s v="--"/>
    <x v="1"/>
    <n v="0"/>
    <n v="1"/>
    <m/>
    <n v="29401.01"/>
    <m/>
    <m/>
    <m/>
    <m/>
    <m/>
  </r>
  <r>
    <x v="97"/>
    <n v="259831354"/>
    <x v="0"/>
    <s v="sell"/>
    <n v="0.5"/>
    <n v="29505.97"/>
    <n v="29504.47"/>
    <n v="29405.97"/>
    <x v="97"/>
    <n v="29505.24"/>
    <n v="0"/>
    <n v="0"/>
    <n v="0.34"/>
    <n v="98"/>
    <n v="-79.319999999999965"/>
    <n v="920.68000000000006"/>
    <x v="7"/>
    <x v="1"/>
    <d v="1900-01-03T00:00:00"/>
    <n v="18"/>
    <n v="0"/>
    <s v=""/>
    <n v="-1.5"/>
    <n v="100"/>
    <n v="10"/>
    <n v="0.1"/>
    <n v="920.34"/>
    <n v="920.68000000000006"/>
    <d v="2020-02-12T11:29:10"/>
    <n v="921.11"/>
    <n v="0"/>
    <d v="2020-02-12T16:31:44"/>
    <n v="920.68000000000006"/>
    <n v="920.68000000000006"/>
    <n v="920.68000000000006"/>
    <n v="3.6942868939743116E-4"/>
    <s v=""/>
    <n v="1052.8399999999999"/>
    <n v="920.68000000000006"/>
    <n v="-0.12552714562516609"/>
    <n v="0.7"/>
    <n v="0.7"/>
    <s v=""/>
    <n v="-173.2"/>
    <n v="0"/>
    <n v="1"/>
    <s v="Non conforme"/>
    <m/>
    <m/>
    <n v="0"/>
    <n v="0"/>
    <n v="0"/>
    <s v="Non"/>
    <s v="Oui"/>
    <s v="Non"/>
    <n v="1.0913999999999999"/>
    <n v="14.687492355338129"/>
    <x v="0"/>
    <s v="0"/>
    <x v="0"/>
    <n v="1"/>
    <n v="0"/>
    <m/>
    <n v="29405.97"/>
    <m/>
    <m/>
    <m/>
    <m/>
    <m/>
  </r>
  <r>
    <x v="98"/>
    <n v="259907380"/>
    <x v="0"/>
    <s v="sell"/>
    <n v="0.5"/>
    <n v="29440.560000000001"/>
    <n v="29439.06"/>
    <n v="29275.56"/>
    <x v="98"/>
    <n v="29439.9"/>
    <n v="0"/>
    <n v="0"/>
    <n v="0.3"/>
    <n v="99"/>
    <n v="-79.019999999999968"/>
    <n v="920.98"/>
    <x v="8"/>
    <x v="1"/>
    <d v="1900-01-04T00:00:00"/>
    <n v="15"/>
    <n v="1"/>
    <n v="19"/>
    <n v="-1.5"/>
    <n v="165"/>
    <n v="16.5"/>
    <n v="0.1"/>
    <n v="920.68000000000006"/>
    <n v="920.98"/>
    <d v="2020-02-13T15:37:15"/>
    <n v="920.68000000000006"/>
    <n v="920.68000000000006"/>
    <d v="2020-02-13T18:18:48"/>
    <n v="867.85"/>
    <n v="0"/>
    <e v="#N/A"/>
    <n v="3.2584611374196737E-4"/>
    <n v="-5.7381500629969197E-2"/>
    <n v="1052.8399999999999"/>
    <n v="920.98"/>
    <n v="-0.12524220204399517"/>
    <n v="0.7"/>
    <n v="0.7"/>
    <s v=""/>
    <n v="-172.5"/>
    <n v="0"/>
    <n v="1"/>
    <s v="Non conforme"/>
    <m/>
    <m/>
    <n v="0"/>
    <n v="0"/>
    <n v="0"/>
    <s v="Non"/>
    <s v="Oui"/>
    <s v="Non"/>
    <n v="1.0867"/>
    <n v="14.71288006869217"/>
    <x v="0"/>
    <s v="0"/>
    <x v="0"/>
    <n v="1"/>
    <n v="0"/>
    <m/>
    <n v="29275.56"/>
    <m/>
    <m/>
    <m/>
    <m/>
    <m/>
  </r>
  <r>
    <x v="99"/>
    <n v="259908737"/>
    <x v="0"/>
    <s v="sell"/>
    <n v="0.5"/>
    <n v="29450.69"/>
    <n v="29460.69"/>
    <m/>
    <x v="99"/>
    <n v="29460.91"/>
    <n v="0"/>
    <n v="0"/>
    <n v="-4.71"/>
    <n v="100"/>
    <n v="-83.729999999999961"/>
    <n v="916.27"/>
    <x v="8"/>
    <x v="1"/>
    <d v="1900-01-04T00:00:00"/>
    <n v="15"/>
    <n v="0"/>
    <s v=""/>
    <n v="10"/>
    <n v="200"/>
    <n v="20"/>
    <n v="-1"/>
    <n v="920.98"/>
    <n v="916.27"/>
    <d v="2020-02-13T15:37:15"/>
    <n v="920.68000000000006"/>
    <n v="0"/>
    <d v="2020-02-13T18:18:48"/>
    <n v="867.85"/>
    <n v="0"/>
    <e v="#N/A"/>
    <n v="-5.1141175704141634E-3"/>
    <s v=""/>
    <n v="1052.8399999999999"/>
    <n v="916.27"/>
    <n v="-0.1297158162683788"/>
    <n v="-10.199999999999999"/>
    <s v=""/>
    <n v="-10.199999999999999"/>
    <n v="-182.7"/>
    <n v="0"/>
    <n v="1"/>
    <s v="Non conforme"/>
    <m/>
    <m/>
    <n v="0"/>
    <n v="0"/>
    <n v="0"/>
    <s v="Non"/>
    <s v="Non"/>
    <s v="Non"/>
    <n v="1.0867"/>
    <n v="14.713148300306088"/>
    <x v="0"/>
    <s v="--"/>
    <x v="1"/>
    <n v="0"/>
    <n v="1"/>
    <m/>
    <s v=""/>
    <m/>
    <m/>
    <m/>
    <m/>
    <m/>
  </r>
  <r>
    <x v="100"/>
    <n v="259908869"/>
    <x v="0"/>
    <s v="sell"/>
    <n v="0.5"/>
    <n v="29446.82"/>
    <n v="29456.82"/>
    <n v="29276.82"/>
    <x v="100"/>
    <n v="29445.81"/>
    <n v="0"/>
    <n v="0"/>
    <n v="0.47"/>
    <n v="101"/>
    <n v="-83.259999999999962"/>
    <n v="916.74"/>
    <x v="8"/>
    <x v="1"/>
    <d v="1900-01-04T00:00:00"/>
    <n v="15"/>
    <n v="0"/>
    <s v=""/>
    <n v="10"/>
    <n v="170"/>
    <n v="17"/>
    <n v="0.1"/>
    <n v="916.27"/>
    <n v="916.74"/>
    <d v="2020-02-13T15:37:15"/>
    <n v="920.68000000000006"/>
    <n v="0"/>
    <d v="2020-02-13T18:18:48"/>
    <n v="867.85"/>
    <n v="0"/>
    <e v="#N/A"/>
    <n v="5.1294923985291158E-4"/>
    <s v=""/>
    <n v="1052.8399999999999"/>
    <n v="916.74"/>
    <n v="-0.12926940465787762"/>
    <n v="1"/>
    <n v="1"/>
    <s v=""/>
    <n v="-181.7"/>
    <n v="0"/>
    <n v="1"/>
    <s v="Non conforme"/>
    <m/>
    <m/>
    <n v="0"/>
    <n v="0"/>
    <n v="0"/>
    <s v="Non"/>
    <s v="Non"/>
    <s v="Non"/>
    <n v="1.0867"/>
    <n v="14.786836523502382"/>
    <x v="0"/>
    <s v="0"/>
    <x v="0"/>
    <n v="1"/>
    <n v="0"/>
    <m/>
    <n v="29276.82"/>
    <m/>
    <m/>
    <m/>
    <m/>
    <m/>
  </r>
  <r>
    <x v="101"/>
    <n v="259910642"/>
    <x v="0"/>
    <s v="sell"/>
    <n v="0.5"/>
    <n v="29414.81"/>
    <n v="29413.31"/>
    <n v="29214.81"/>
    <x v="101"/>
    <n v="29413.62"/>
    <n v="0"/>
    <n v="0"/>
    <n v="0.55000000000000004"/>
    <n v="102"/>
    <n v="-82.709999999999965"/>
    <n v="917.29000000000008"/>
    <x v="8"/>
    <x v="1"/>
    <d v="1900-01-04T00:00:00"/>
    <n v="16"/>
    <n v="0"/>
    <s v=""/>
    <n v="-1.5"/>
    <n v="200"/>
    <n v="20"/>
    <n v="0.1"/>
    <n v="916.74000000000012"/>
    <n v="917.29000000000008"/>
    <d v="2020-02-13T15:37:15"/>
    <n v="920.68000000000006"/>
    <n v="0"/>
    <d v="2020-02-13T18:18:48"/>
    <n v="867.85"/>
    <n v="0"/>
    <e v="#N/A"/>
    <n v="5.9995200383964318E-4"/>
    <s v=""/>
    <n v="1052.8399999999999"/>
    <n v="917.29000000000008"/>
    <n v="-0.12874700809239759"/>
    <n v="1.2"/>
    <n v="1.2"/>
    <s v=""/>
    <n v="-180.5"/>
    <n v="0"/>
    <n v="1"/>
    <s v="Non conforme"/>
    <m/>
    <m/>
    <n v="0"/>
    <n v="0"/>
    <n v="0"/>
    <s v="Non"/>
    <s v="Oui"/>
    <s v="Non"/>
    <n v="1.0867"/>
    <n v="14.76318980906651"/>
    <x v="0"/>
    <s v="0"/>
    <x v="0"/>
    <n v="1"/>
    <n v="0"/>
    <m/>
    <n v="29214.81"/>
    <m/>
    <m/>
    <m/>
    <m/>
    <m/>
  </r>
  <r>
    <x v="102"/>
    <n v="259913211"/>
    <x v="0"/>
    <s v="sell"/>
    <n v="0.5"/>
    <n v="29405.66"/>
    <n v="29404.16"/>
    <m/>
    <x v="102"/>
    <n v="29404.93"/>
    <n v="0"/>
    <n v="0"/>
    <n v="0.34"/>
    <n v="103"/>
    <n v="-82.369999999999962"/>
    <n v="917.63"/>
    <x v="8"/>
    <x v="1"/>
    <d v="1900-01-04T00:00:00"/>
    <n v="16"/>
    <n v="0"/>
    <s v=""/>
    <n v="-1.5"/>
    <n v="200"/>
    <n v="20"/>
    <n v="0.1"/>
    <n v="917.29"/>
    <n v="917.63"/>
    <d v="2020-02-13T15:37:15"/>
    <n v="920.68000000000006"/>
    <n v="0"/>
    <d v="2020-02-13T18:18:48"/>
    <n v="867.85"/>
    <n v="0"/>
    <e v="#N/A"/>
    <n v="3.7065704411912463E-4"/>
    <s v=""/>
    <n v="1052.8399999999999"/>
    <n v="917.63"/>
    <n v="-0.12842407203373729"/>
    <n v="0.7"/>
    <n v="0.7"/>
    <s v=""/>
    <n v="-179.8"/>
    <n v="0"/>
    <n v="1"/>
    <s v="Non conforme"/>
    <m/>
    <m/>
    <n v="0"/>
    <n v="0"/>
    <n v="0"/>
    <s v="Non"/>
    <s v="Oui"/>
    <s v="Non"/>
    <n v="1.0867"/>
    <n v="14.749748315151319"/>
    <x v="0"/>
    <s v="0"/>
    <x v="0"/>
    <n v="1"/>
    <n v="0"/>
    <m/>
    <s v=""/>
    <m/>
    <m/>
    <m/>
    <m/>
    <m/>
  </r>
  <r>
    <x v="103"/>
    <n v="259913464"/>
    <x v="0"/>
    <s v="sell"/>
    <n v="0.5"/>
    <n v="29405.81"/>
    <n v="29415.81"/>
    <m/>
    <x v="103"/>
    <n v="29415.98"/>
    <n v="0"/>
    <n v="0"/>
    <n v="-4.6900000000000004"/>
    <n v="104"/>
    <n v="-87.05999999999996"/>
    <n v="912.94"/>
    <x v="8"/>
    <x v="1"/>
    <d v="1900-01-04T00:00:00"/>
    <n v="16"/>
    <n v="0"/>
    <s v=""/>
    <n v="10"/>
    <n v="200"/>
    <n v="20"/>
    <n v="-1"/>
    <n v="917.63000000000011"/>
    <n v="912.94"/>
    <d v="2020-02-13T15:37:15"/>
    <n v="920.68000000000006"/>
    <n v="0"/>
    <d v="2020-02-13T18:18:48"/>
    <n v="867.85"/>
    <n v="0"/>
    <e v="#N/A"/>
    <n v="-5.1109924479365914E-3"/>
    <s v=""/>
    <n v="1052.8399999999999"/>
    <n v="912.94"/>
    <n v="-0.13287869001937602"/>
    <n v="-10.199999999999999"/>
    <s v=""/>
    <n v="-10.199999999999999"/>
    <n v="-190"/>
    <n v="0"/>
    <n v="1"/>
    <s v="Non conforme"/>
    <m/>
    <m/>
    <n v="0"/>
    <n v="0"/>
    <n v="0"/>
    <s v="Non"/>
    <s v="Non"/>
    <s v="Non"/>
    <n v="1.0867"/>
    <n v="14.744358454162349"/>
    <x v="0"/>
    <s v="--"/>
    <x v="1"/>
    <n v="0"/>
    <n v="1"/>
    <m/>
    <s v=""/>
    <m/>
    <m/>
    <m/>
    <m/>
    <m/>
  </r>
  <r>
    <x v="104"/>
    <n v="259913668"/>
    <x v="0"/>
    <s v="sell"/>
    <n v="0.5"/>
    <n v="29406.61"/>
    <n v="29405.11"/>
    <n v="29216.61"/>
    <x v="104"/>
    <n v="29405.82"/>
    <n v="0"/>
    <n v="0"/>
    <n v="0.37"/>
    <n v="105"/>
    <n v="-86.689999999999955"/>
    <n v="913.31000000000006"/>
    <x v="8"/>
    <x v="1"/>
    <d v="1900-01-04T00:00:00"/>
    <n v="16"/>
    <n v="0"/>
    <s v=""/>
    <n v="-1.5"/>
    <n v="190"/>
    <n v="19"/>
    <n v="0.1"/>
    <n v="912.94"/>
    <n v="913.31000000000006"/>
    <d v="2020-02-13T15:37:15"/>
    <n v="920.68000000000006"/>
    <n v="0"/>
    <d v="2020-02-13T18:18:48"/>
    <n v="867.85"/>
    <n v="0"/>
    <e v="#N/A"/>
    <n v="4.0528402742787535E-4"/>
    <s v=""/>
    <n v="1052.8399999999999"/>
    <n v="913.31000000000006"/>
    <n v="-0.13252725960259859"/>
    <n v="0.8"/>
    <n v="0.8"/>
    <s v=""/>
    <n v="-189.2"/>
    <n v="0"/>
    <n v="1"/>
    <s v="Non conforme"/>
    <m/>
    <m/>
    <n v="0"/>
    <n v="0"/>
    <n v="0"/>
    <s v="Non"/>
    <s v="Oui"/>
    <s v="Non"/>
    <n v="1.0867"/>
    <n v="14.820507081693757"/>
    <x v="0"/>
    <s v="0"/>
    <x v="0"/>
    <n v="1"/>
    <n v="0"/>
    <m/>
    <n v="29216.61"/>
    <m/>
    <m/>
    <m/>
    <m/>
    <m/>
  </r>
  <r>
    <x v="105"/>
    <n v="259914277"/>
    <x v="0"/>
    <s v="sell"/>
    <n v="0.5"/>
    <n v="29391.81"/>
    <n v="29401.81"/>
    <n v="29256.080000000002"/>
    <x v="105"/>
    <n v="29401.96"/>
    <n v="0"/>
    <n v="0"/>
    <n v="-4.6900000000000004"/>
    <n v="106"/>
    <n v="-91.379999999999953"/>
    <n v="908.62"/>
    <x v="8"/>
    <x v="1"/>
    <d v="1900-01-04T00:00:00"/>
    <n v="16"/>
    <n v="0"/>
    <s v=""/>
    <n v="10"/>
    <n v="135.69999999999999"/>
    <n v="13.6"/>
    <n v="-1"/>
    <n v="913.31000000000006"/>
    <n v="908.62"/>
    <d v="2020-02-13T15:37:15"/>
    <n v="920.68000000000006"/>
    <n v="0"/>
    <d v="2020-02-13T18:18:48"/>
    <n v="867.85"/>
    <n v="0"/>
    <e v="#N/A"/>
    <n v="-5.13516768676578E-3"/>
    <s v=""/>
    <n v="1052.8399999999999"/>
    <n v="908.62"/>
    <n v="-0.13698187758823743"/>
    <n v="-10.1"/>
    <s v=""/>
    <n v="-10.1"/>
    <n v="-199.29999999999998"/>
    <n v="0"/>
    <n v="1"/>
    <s v="Non conforme"/>
    <m/>
    <m/>
    <n v="0"/>
    <n v="0"/>
    <n v="0"/>
    <s v="Non"/>
    <s v="Non"/>
    <s v="Non"/>
    <n v="1.0867"/>
    <n v="14.807047035611379"/>
    <x v="0"/>
    <s v="--"/>
    <x v="1"/>
    <n v="0"/>
    <n v="1"/>
    <m/>
    <n v="29256.080000000002"/>
    <m/>
    <m/>
    <m/>
    <m/>
    <m/>
  </r>
  <r>
    <x v="106"/>
    <n v="259914448"/>
    <x v="0"/>
    <s v="sell"/>
    <n v="0.5"/>
    <n v="29403.81"/>
    <n v="29402.31"/>
    <n v="29223.81"/>
    <x v="106"/>
    <n v="29402.81"/>
    <n v="0"/>
    <n v="0"/>
    <n v="0.46"/>
    <n v="107"/>
    <n v="-90.919999999999959"/>
    <n v="909.08"/>
    <x v="8"/>
    <x v="1"/>
    <d v="1900-01-04T00:00:00"/>
    <n v="16"/>
    <n v="0"/>
    <s v=""/>
    <n v="-1.5"/>
    <n v="180"/>
    <n v="18"/>
    <n v="0.1"/>
    <n v="908.62"/>
    <n v="909.08"/>
    <d v="2020-02-13T15:37:15"/>
    <n v="920.68000000000006"/>
    <n v="0"/>
    <d v="2020-02-13T18:18:48"/>
    <n v="867.85"/>
    <n v="0"/>
    <e v="#N/A"/>
    <n v="5.0626224384235034E-4"/>
    <s v=""/>
    <n v="1052.8399999999999"/>
    <n v="909.08"/>
    <n v="-0.1365449640971087"/>
    <n v="1"/>
    <n v="1"/>
    <s v=""/>
    <n v="-198.29999999999998"/>
    <n v="0"/>
    <n v="1"/>
    <s v="Non conforme"/>
    <m/>
    <m/>
    <n v="0"/>
    <n v="0"/>
    <n v="0"/>
    <s v="Non"/>
    <s v="Oui"/>
    <s v="Non"/>
    <n v="1.0867"/>
    <n v="14.889552762564929"/>
    <x v="0"/>
    <s v="0"/>
    <x v="0"/>
    <n v="1"/>
    <n v="0"/>
    <m/>
    <n v="29223.81"/>
    <m/>
    <m/>
    <m/>
    <m/>
    <m/>
  </r>
  <r>
    <x v="107"/>
    <n v="259916815"/>
    <x v="0"/>
    <s v="sell"/>
    <n v="0.5"/>
    <n v="29408.959999999999"/>
    <n v="29418.959999999999"/>
    <m/>
    <x v="107"/>
    <n v="29419.01"/>
    <n v="0"/>
    <n v="0"/>
    <n v="-4.6399999999999997"/>
    <n v="108"/>
    <n v="-95.55999999999996"/>
    <n v="904.44"/>
    <x v="8"/>
    <x v="1"/>
    <d v="1900-01-04T00:00:00"/>
    <n v="16"/>
    <n v="0"/>
    <s v=""/>
    <n v="10"/>
    <n v="200"/>
    <n v="20"/>
    <n v="-1"/>
    <n v="909.08"/>
    <n v="904.44"/>
    <d v="2020-02-13T15:37:15"/>
    <n v="920.68000000000006"/>
    <n v="0"/>
    <d v="2020-02-13T18:18:48"/>
    <n v="867.85"/>
    <n v="0"/>
    <e v="#N/A"/>
    <n v="-5.1040612487349693E-3"/>
    <s v=""/>
    <n v="1052.8399999999999"/>
    <n v="904.44"/>
    <n v="-0.14095209148588572"/>
    <n v="-10"/>
    <s v=""/>
    <n v="-10"/>
    <n v="-208.29999999999998"/>
    <n v="0"/>
    <n v="1"/>
    <s v="Non conforme"/>
    <m/>
    <m/>
    <n v="0"/>
    <n v="0"/>
    <n v="0"/>
    <s v="Non"/>
    <s v="Non"/>
    <s v="Non"/>
    <n v="1.0867"/>
    <n v="14.88462510487275"/>
    <x v="0"/>
    <s v="--"/>
    <x v="1"/>
    <n v="0"/>
    <n v="1"/>
    <m/>
    <s v=""/>
    <m/>
    <m/>
    <m/>
    <m/>
    <m/>
  </r>
  <r>
    <x v="108"/>
    <n v="259916826"/>
    <x v="0"/>
    <s v="sell"/>
    <n v="0.5"/>
    <n v="29417.83"/>
    <n v="29427.83"/>
    <m/>
    <x v="108"/>
    <n v="29427.87"/>
    <n v="0"/>
    <n v="0"/>
    <n v="-4.63"/>
    <n v="109"/>
    <n v="-100.18999999999996"/>
    <n v="899.81000000000006"/>
    <x v="8"/>
    <x v="1"/>
    <d v="1900-01-04T00:00:00"/>
    <n v="16"/>
    <n v="0"/>
    <s v=""/>
    <n v="10"/>
    <n v="200"/>
    <n v="20"/>
    <n v="-1"/>
    <n v="904.44"/>
    <n v="899.81000000000006"/>
    <d v="2020-02-13T15:37:15"/>
    <n v="920.68000000000006"/>
    <n v="0"/>
    <d v="2020-02-13T18:18:48"/>
    <n v="867.85"/>
    <n v="0"/>
    <e v="#N/A"/>
    <n v="-5.1191897748883233E-3"/>
    <s v=""/>
    <n v="1052.8399999999999"/>
    <n v="899.81000000000006"/>
    <n v="-0.14534972075529029"/>
    <n v="-10"/>
    <s v=""/>
    <n v="-10"/>
    <n v="-218.29999999999998"/>
    <n v="0"/>
    <n v="1"/>
    <s v="Non conforme"/>
    <m/>
    <m/>
    <n v="0"/>
    <n v="0"/>
    <n v="0"/>
    <s v="Non"/>
    <s v="Non"/>
    <s v="Non"/>
    <n v="1.0867"/>
    <n v="14.965499263071321"/>
    <x v="0"/>
    <s v="--"/>
    <x v="1"/>
    <n v="0"/>
    <n v="1"/>
    <m/>
    <s v=""/>
    <m/>
    <m/>
    <m/>
    <m/>
    <m/>
  </r>
  <r>
    <x v="109"/>
    <n v="259916960"/>
    <x v="0"/>
    <s v="sell"/>
    <n v="0.5"/>
    <n v="29431.79"/>
    <n v="29441.79"/>
    <n v="29231.79"/>
    <x v="109"/>
    <n v="29441.95"/>
    <n v="0"/>
    <n v="0"/>
    <n v="-4.68"/>
    <n v="110"/>
    <n v="-104.86999999999995"/>
    <n v="895.13000000000011"/>
    <x v="8"/>
    <x v="1"/>
    <d v="1900-01-04T00:00:00"/>
    <n v="16"/>
    <n v="0"/>
    <s v=""/>
    <n v="10"/>
    <n v="200"/>
    <n v="20"/>
    <n v="-1"/>
    <n v="899.81000000000006"/>
    <n v="895.13000000000011"/>
    <d v="2020-02-13T15:37:15"/>
    <n v="920.68000000000006"/>
    <n v="0"/>
    <d v="2020-02-13T18:18:48"/>
    <n v="867.85"/>
    <n v="0"/>
    <e v="#N/A"/>
    <n v="-5.2010980095797445E-3"/>
    <s v=""/>
    <n v="1052.8399999999999"/>
    <n v="895.13000000000011"/>
    <n v="-0.14979484062155679"/>
    <n v="-10.199999999999999"/>
    <s v=""/>
    <n v="-10.199999999999999"/>
    <n v="-228.49999999999997"/>
    <n v="0"/>
    <n v="1"/>
    <s v="Non conforme"/>
    <m/>
    <m/>
    <n v="0"/>
    <n v="0"/>
    <n v="0"/>
    <s v="Non"/>
    <s v="Non"/>
    <s v="Non"/>
    <n v="1.0867"/>
    <n v="15.04964300168654"/>
    <x v="0"/>
    <s v="--"/>
    <x v="1"/>
    <n v="0"/>
    <n v="1"/>
    <m/>
    <n v="29231.79"/>
    <m/>
    <m/>
    <m/>
    <m/>
    <m/>
  </r>
  <r>
    <x v="110"/>
    <n v="259916884"/>
    <x v="0"/>
    <s v="sell"/>
    <n v="0.5"/>
    <n v="29443.759999999998"/>
    <n v="29452.99"/>
    <m/>
    <x v="110"/>
    <n v="29453.78"/>
    <n v="0"/>
    <n v="0"/>
    <n v="-4.62"/>
    <n v="111"/>
    <n v="-109.48999999999995"/>
    <n v="890.51"/>
    <x v="8"/>
    <x v="1"/>
    <d v="1900-01-04T00:00:00"/>
    <n v="16"/>
    <n v="0"/>
    <s v=""/>
    <n v="9.1999999999999993"/>
    <n v="200"/>
    <n v="21.7"/>
    <n v="-1"/>
    <n v="895.13"/>
    <n v="890.51"/>
    <d v="2020-02-13T15:37:15"/>
    <n v="920.68000000000006"/>
    <n v="0"/>
    <d v="2020-02-13T18:18:48"/>
    <n v="867.85"/>
    <n v="0"/>
    <e v="#N/A"/>
    <n v="-5.1612614927440759E-3"/>
    <s v=""/>
    <n v="1052.8399999999999"/>
    <n v="890.51"/>
    <n v="-0.15418297177158913"/>
    <n v="-10"/>
    <s v=""/>
    <n v="-10"/>
    <n v="-238.49999999999997"/>
    <n v="0"/>
    <n v="1"/>
    <s v="Non conforme"/>
    <m/>
    <m/>
    <n v="0"/>
    <n v="0"/>
    <n v="0"/>
    <s v="Non"/>
    <s v="Non"/>
    <s v="Non"/>
    <n v="1.0867"/>
    <n v="15.134479650014535"/>
    <x v="0"/>
    <s v="--"/>
    <x v="1"/>
    <n v="0"/>
    <n v="1"/>
    <m/>
    <s v=""/>
    <m/>
    <m/>
    <m/>
    <m/>
    <m/>
  </r>
  <r>
    <x v="111"/>
    <n v="259916894"/>
    <x v="0"/>
    <s v="sell"/>
    <n v="0.5"/>
    <n v="29454.75"/>
    <n v="29463.88"/>
    <n v="29269.99"/>
    <x v="111"/>
    <n v="29463.98"/>
    <n v="0"/>
    <n v="0"/>
    <n v="-4.26"/>
    <n v="112"/>
    <n v="-113.74999999999996"/>
    <n v="886.25"/>
    <x v="8"/>
    <x v="1"/>
    <d v="1900-01-04T00:00:00"/>
    <n v="17"/>
    <n v="0"/>
    <s v=""/>
    <n v="9.1"/>
    <n v="184.8"/>
    <n v="20.3"/>
    <n v="-0.9"/>
    <n v="890.51"/>
    <n v="886.25"/>
    <d v="2020-02-13T15:37:15"/>
    <n v="920.68000000000006"/>
    <n v="0"/>
    <d v="2020-02-13T18:18:48"/>
    <n v="867.85"/>
    <n v="0"/>
    <e v="#N/A"/>
    <n v="-4.7837755892690603E-3"/>
    <s v=""/>
    <n v="1052.8399999999999"/>
    <n v="886.25"/>
    <n v="-0.15822917062421638"/>
    <n v="-9.1999999999999993"/>
    <s v=""/>
    <n v="-9.1999999999999993"/>
    <n v="-247.69999999999996"/>
    <n v="0"/>
    <n v="1"/>
    <s v="Non conforme"/>
    <m/>
    <m/>
    <n v="0"/>
    <n v="0"/>
    <n v="0"/>
    <s v="Non"/>
    <s v="Non"/>
    <s v="Non"/>
    <n v="1.0867"/>
    <n v="15.218676222022822"/>
    <x v="0"/>
    <s v="--"/>
    <x v="1"/>
    <n v="0"/>
    <n v="1"/>
    <m/>
    <n v="29269.99"/>
    <m/>
    <m/>
    <m/>
    <m/>
    <m/>
  </r>
  <r>
    <x v="112"/>
    <n v="259918267"/>
    <x v="0"/>
    <s v="sell"/>
    <n v="0.5"/>
    <n v="29459.75"/>
    <n v="29469.75"/>
    <n v="29259.75"/>
    <x v="112"/>
    <n v="29469.91"/>
    <n v="0"/>
    <n v="0"/>
    <n v="-4.68"/>
    <n v="113"/>
    <n v="-118.42999999999995"/>
    <n v="881.57"/>
    <x v="8"/>
    <x v="1"/>
    <d v="1900-01-04T00:00:00"/>
    <n v="17"/>
    <n v="0"/>
    <s v=""/>
    <n v="10"/>
    <n v="200"/>
    <n v="20"/>
    <n v="-1"/>
    <n v="886.25"/>
    <n v="881.57"/>
    <d v="2020-02-13T15:37:15"/>
    <n v="920.68000000000006"/>
    <n v="0"/>
    <d v="2020-02-13T18:18:48"/>
    <n v="867.85"/>
    <n v="0"/>
    <e v="#N/A"/>
    <n v="-5.2806770098730044E-3"/>
    <s v=""/>
    <n v="1052.8399999999999"/>
    <n v="881.57"/>
    <n v="-0.16267429049048276"/>
    <n v="-10.199999999999999"/>
    <s v=""/>
    <n v="-10.199999999999999"/>
    <n v="-257.89999999999998"/>
    <n v="0"/>
    <n v="1"/>
    <s v="Non conforme"/>
    <m/>
    <m/>
    <n v="0"/>
    <n v="0"/>
    <n v="0"/>
    <s v="Non"/>
    <s v="Non"/>
    <s v="Non"/>
    <n v="1.0867"/>
    <n v="15.294424716955344"/>
    <x v="0"/>
    <s v="--"/>
    <x v="1"/>
    <n v="0"/>
    <n v="1"/>
    <m/>
    <n v="29259.75"/>
    <m/>
    <m/>
    <m/>
    <m/>
    <m/>
  </r>
  <r>
    <x v="113"/>
    <n v="259920086"/>
    <x v="0"/>
    <s v="sell"/>
    <n v="0.5"/>
    <n v="29469.82"/>
    <n v="29479.82"/>
    <n v="28919.82"/>
    <x v="113"/>
    <n v="29479.84"/>
    <n v="0"/>
    <n v="0"/>
    <n v="-4.62"/>
    <n v="114"/>
    <n v="-123.04999999999995"/>
    <n v="876.95"/>
    <x v="8"/>
    <x v="1"/>
    <d v="1900-01-04T00:00:00"/>
    <n v="17"/>
    <n v="0"/>
    <s v=""/>
    <n v="10"/>
    <n v="550"/>
    <n v="55"/>
    <n v="-1"/>
    <n v="881.57"/>
    <n v="876.95"/>
    <d v="2020-02-13T15:37:15"/>
    <n v="920.68000000000006"/>
    <n v="0"/>
    <d v="2020-02-13T18:18:48"/>
    <n v="867.85"/>
    <n v="0"/>
    <e v="#N/A"/>
    <n v="-5.2406502036140114E-3"/>
    <s v=""/>
    <n v="1052.8399999999999"/>
    <n v="876.95"/>
    <n v="-0.1670624216405151"/>
    <n v="-10"/>
    <s v=""/>
    <n v="-10"/>
    <n v="-267.89999999999998"/>
    <n v="0"/>
    <n v="1"/>
    <s v="Non conforme"/>
    <m/>
    <m/>
    <n v="0"/>
    <n v="0"/>
    <n v="0"/>
    <s v="Non"/>
    <s v="Non"/>
    <s v="Non"/>
    <n v="1.0867"/>
    <n v="15.380874121010162"/>
    <x v="0"/>
    <s v="--"/>
    <x v="1"/>
    <n v="0"/>
    <n v="1"/>
    <m/>
    <n v="28919.82"/>
    <m/>
    <m/>
    <m/>
    <m/>
    <m/>
  </r>
  <r>
    <x v="114"/>
    <n v="259920330"/>
    <x v="0"/>
    <s v="sell"/>
    <n v="0.5"/>
    <n v="29476.76"/>
    <n v="29486.76"/>
    <n v="28916.76"/>
    <x v="114"/>
    <n v="29486.959999999999"/>
    <n v="0"/>
    <n v="0"/>
    <n v="-4.7"/>
    <n v="115"/>
    <n v="-127.74999999999996"/>
    <n v="872.25"/>
    <x v="8"/>
    <x v="1"/>
    <d v="1900-01-04T00:00:00"/>
    <n v="17"/>
    <n v="0"/>
    <s v=""/>
    <n v="10"/>
    <n v="560"/>
    <n v="56"/>
    <n v="-1"/>
    <n v="876.95"/>
    <n v="872.25"/>
    <d v="2020-02-13T15:37:15"/>
    <n v="920.68000000000006"/>
    <n v="0"/>
    <d v="2020-02-13T18:18:48"/>
    <n v="867.85"/>
    <n v="0"/>
    <e v="#N/A"/>
    <n v="-5.3594845772279437E-3"/>
    <s v=""/>
    <n v="1052.8399999999999"/>
    <n v="872.25"/>
    <n v="-0.17152653774552629"/>
    <n v="-10.199999999999999"/>
    <s v=""/>
    <n v="-10.199999999999999"/>
    <n v="-278.09999999999997"/>
    <n v="0"/>
    <n v="1"/>
    <s v="Non conforme"/>
    <m/>
    <m/>
    <n v="0"/>
    <n v="0"/>
    <n v="0"/>
    <s v="Non"/>
    <s v="Non"/>
    <s v="Non"/>
    <n v="1.0867"/>
    <n v="15.465545757960175"/>
    <x v="0"/>
    <s v="--"/>
    <x v="1"/>
    <n v="0"/>
    <n v="1"/>
    <m/>
    <n v="28916.76"/>
    <m/>
    <m/>
    <m/>
    <m/>
    <m/>
  </r>
  <r>
    <x v="115"/>
    <n v="259920649"/>
    <x v="0"/>
    <s v="sell"/>
    <n v="0.5"/>
    <n v="29486.79"/>
    <n v="29496.79"/>
    <m/>
    <x v="115"/>
    <n v="29496.95"/>
    <n v="0"/>
    <n v="0"/>
    <n v="-4.68"/>
    <n v="116"/>
    <n v="-132.42999999999995"/>
    <n v="867.57"/>
    <x v="8"/>
    <x v="1"/>
    <d v="1900-01-04T00:00:00"/>
    <n v="17"/>
    <n v="0"/>
    <s v=""/>
    <n v="10"/>
    <n v="200"/>
    <n v="20"/>
    <n v="-1"/>
    <n v="872.25"/>
    <n v="867.57"/>
    <d v="2020-02-13T15:37:15"/>
    <n v="920.68000000000006"/>
    <n v="0"/>
    <d v="2020-02-13T18:18:48"/>
    <n v="867.85"/>
    <n v="0"/>
    <e v="#N/A"/>
    <n v="-5.3654342218400113E-3"/>
    <s v=""/>
    <n v="1052.8399999999999"/>
    <n v="867.57"/>
    <n v="-0.17597165761179279"/>
    <n v="-10.199999999999999"/>
    <s v=""/>
    <n v="-10.199999999999999"/>
    <n v="-288.29999999999995"/>
    <n v="0"/>
    <n v="1"/>
    <s v="Non conforme"/>
    <m/>
    <m/>
    <n v="0"/>
    <n v="0"/>
    <n v="0"/>
    <s v="Non"/>
    <s v="Non"/>
    <s v="Non"/>
    <n v="1.0867"/>
    <n v="15.554170526290637"/>
    <x v="0"/>
    <s v="--"/>
    <x v="1"/>
    <n v="0"/>
    <n v="1"/>
    <m/>
    <s v=""/>
    <m/>
    <m/>
    <m/>
    <m/>
    <m/>
  </r>
  <r>
    <x v="116"/>
    <n v="259920669"/>
    <x v="0"/>
    <s v="sell"/>
    <n v="0.5"/>
    <n v="29524.81"/>
    <n v="29523.31"/>
    <m/>
    <x v="116"/>
    <n v="29524.22"/>
    <n v="0"/>
    <n v="0"/>
    <n v="0.28000000000000003"/>
    <n v="117"/>
    <n v="-132.14999999999995"/>
    <n v="867.85"/>
    <x v="8"/>
    <x v="1"/>
    <d v="1900-01-04T00:00:00"/>
    <n v="20"/>
    <n v="0"/>
    <s v=""/>
    <n v="-1.5"/>
    <n v="200"/>
    <n v="20"/>
    <n v="0.1"/>
    <n v="867.57"/>
    <n v="867.85"/>
    <d v="2020-02-13T15:37:15"/>
    <n v="920.68000000000006"/>
    <n v="0"/>
    <d v="2020-02-13T18:18:48"/>
    <n v="867.85"/>
    <n v="867.85"/>
    <n v="867.85"/>
    <n v="3.2274052814178992E-4"/>
    <s v=""/>
    <n v="1052.8399999999999"/>
    <n v="867.85"/>
    <n v="-0.17570571026936654"/>
    <n v="0.6"/>
    <n v="0.6"/>
    <s v=""/>
    <n v="-287.69999999999993"/>
    <n v="0"/>
    <n v="1"/>
    <s v="Non conforme"/>
    <m/>
    <m/>
    <n v="0"/>
    <n v="0"/>
    <n v="0"/>
    <s v="Non"/>
    <s v="Oui"/>
    <s v="Non"/>
    <n v="1.0867"/>
    <n v="15.658239185290544"/>
    <x v="0"/>
    <s v="0"/>
    <x v="0"/>
    <n v="1"/>
    <n v="0"/>
    <m/>
    <s v=""/>
    <m/>
    <m/>
    <m/>
    <m/>
    <m/>
  </r>
  <r>
    <x v="117"/>
    <n v="259948472"/>
    <x v="0"/>
    <s v="buy"/>
    <n v="0.5"/>
    <n v="29466.15"/>
    <n v="29460.97"/>
    <n v="29526.15"/>
    <x v="117"/>
    <n v="29460.02"/>
    <n v="0"/>
    <n v="0"/>
    <n v="-2.83"/>
    <n v="118"/>
    <n v="-134.97999999999996"/>
    <n v="865.02"/>
    <x v="9"/>
    <x v="1"/>
    <d v="1900-01-05T00:00:00"/>
    <n v="9"/>
    <n v="1"/>
    <n v="26"/>
    <n v="5.2"/>
    <n v="60"/>
    <n v="11.5"/>
    <n v="-0.6"/>
    <n v="867.85"/>
    <n v="865.02"/>
    <d v="2020-02-14T09:23:01"/>
    <n v="867.85"/>
    <n v="867.85"/>
    <d v="2020-02-14T19:53:47"/>
    <n v="775.01"/>
    <n v="0"/>
    <e v="#N/A"/>
    <n v="-3.2609321887423414E-3"/>
    <n v="-0.10697701215647869"/>
    <n v="1052.8399999999999"/>
    <n v="865.02"/>
    <n v="-0.17839367805174566"/>
    <n v="-6.1"/>
    <s v=""/>
    <n v="-6.1"/>
    <n v="-293.79999999999995"/>
    <n v="0"/>
    <n v="1"/>
    <s v="Non conforme"/>
    <m/>
    <m/>
    <n v="0"/>
    <n v="0"/>
    <n v="0"/>
    <s v="Non"/>
    <s v="Non"/>
    <s v="Non"/>
    <n v="1.0842000000000001"/>
    <n v="15.658109611246923"/>
    <x v="0"/>
    <s v="--"/>
    <x v="1"/>
    <n v="0"/>
    <n v="1"/>
    <m/>
    <n v="29526.15"/>
    <m/>
    <m/>
    <m/>
    <m/>
    <m/>
  </r>
  <r>
    <x v="118"/>
    <n v="259950761"/>
    <x v="0"/>
    <s v="buy"/>
    <n v="0.5"/>
    <n v="29467.25"/>
    <n v="29457.25"/>
    <n v="29527.25"/>
    <x v="118"/>
    <n v="29457.19"/>
    <n v="0"/>
    <n v="0"/>
    <n v="-4.6399999999999997"/>
    <n v="119"/>
    <n v="-139.61999999999995"/>
    <n v="860.38000000000011"/>
    <x v="9"/>
    <x v="1"/>
    <d v="1900-01-05T00:00:00"/>
    <n v="10"/>
    <n v="0"/>
    <s v=""/>
    <n v="10"/>
    <n v="60"/>
    <n v="6"/>
    <n v="-1"/>
    <n v="865.0200000000001"/>
    <n v="860.38000000000011"/>
    <d v="2020-02-14T09:23:01"/>
    <n v="867.85"/>
    <n v="0"/>
    <d v="2020-02-14T19:53:47"/>
    <n v="775.01"/>
    <n v="0"/>
    <e v="#N/A"/>
    <n v="-5.3640378257149958E-3"/>
    <s v=""/>
    <n v="1052.8399999999999"/>
    <n v="860.38000000000011"/>
    <n v="-0.18280080544052257"/>
    <n v="-10.1"/>
    <s v=""/>
    <n v="-10.1"/>
    <n v="-303.89999999999998"/>
    <n v="0"/>
    <n v="1"/>
    <s v="Non conforme"/>
    <m/>
    <m/>
    <n v="0"/>
    <n v="0"/>
    <n v="0"/>
    <s v="Non"/>
    <s v="Non"/>
    <s v="Non"/>
    <n v="1.0842000000000001"/>
    <n v="15.709923137729936"/>
    <x v="0"/>
    <s v="--"/>
    <x v="1"/>
    <n v="0"/>
    <n v="1"/>
    <m/>
    <n v="29527.25"/>
    <m/>
    <m/>
    <m/>
    <m/>
    <m/>
  </r>
  <r>
    <x v="119"/>
    <n v="259950984"/>
    <x v="0"/>
    <s v="buy"/>
    <n v="0.5"/>
    <n v="29457.06"/>
    <n v="29447.06"/>
    <n v="29527.06"/>
    <x v="119"/>
    <n v="29446.29"/>
    <n v="0"/>
    <n v="0"/>
    <n v="-4.97"/>
    <n v="120"/>
    <n v="-144.58999999999995"/>
    <n v="855.41000000000008"/>
    <x v="9"/>
    <x v="1"/>
    <d v="1900-01-05T00:00:00"/>
    <n v="10"/>
    <n v="0"/>
    <s v=""/>
    <n v="10"/>
    <n v="70"/>
    <n v="7"/>
    <n v="-1.1000000000000001"/>
    <n v="860.38000000000011"/>
    <n v="855.41000000000008"/>
    <d v="2020-02-14T09:23:01"/>
    <n v="867.85"/>
    <n v="0"/>
    <d v="2020-02-14T19:53:47"/>
    <n v="775.01"/>
    <n v="0"/>
    <e v="#N/A"/>
    <n v="-5.7765173527976324E-3"/>
    <s v=""/>
    <n v="1052.8399999999999"/>
    <n v="855.41000000000008"/>
    <n v="-0.18752137076858766"/>
    <n v="-10.8"/>
    <s v=""/>
    <n v="-10.8"/>
    <n v="-314.7"/>
    <n v="0"/>
    <n v="1"/>
    <s v="Non conforme"/>
    <m/>
    <m/>
    <n v="0"/>
    <n v="0"/>
    <n v="0"/>
    <s v="Non"/>
    <s v="Non"/>
    <s v="Non"/>
    <n v="1.0842000000000001"/>
    <n v="15.789184308247574"/>
    <x v="0"/>
    <s v="--"/>
    <x v="1"/>
    <n v="0"/>
    <n v="1"/>
    <m/>
    <n v="29527.06"/>
    <m/>
    <m/>
    <m/>
    <m/>
    <m/>
  </r>
  <r>
    <x v="120"/>
    <n v="259951106"/>
    <x v="0"/>
    <s v="buy"/>
    <n v="0.5"/>
    <n v="29443.16"/>
    <n v="29433.22"/>
    <m/>
    <x v="120"/>
    <n v="29433.15"/>
    <n v="0"/>
    <n v="0"/>
    <n v="-4.62"/>
    <n v="121"/>
    <n v="-149.20999999999995"/>
    <n v="850.79000000000008"/>
    <x v="9"/>
    <x v="1"/>
    <d v="1900-01-05T00:00:00"/>
    <n v="10"/>
    <n v="0"/>
    <s v=""/>
    <n v="9.9"/>
    <n v="200"/>
    <n v="20.2"/>
    <n v="-1"/>
    <n v="855.41000000000008"/>
    <n v="850.79000000000008"/>
    <d v="2020-02-14T09:23:01"/>
    <n v="867.85"/>
    <n v="0"/>
    <d v="2020-02-14T19:53:47"/>
    <n v="775.01"/>
    <n v="0"/>
    <e v="#N/A"/>
    <n v="-5.4009188576238341E-3"/>
    <s v=""/>
    <n v="1052.8399999999999"/>
    <n v="850.79000000000008"/>
    <n v="-0.19190950191862"/>
    <n v="-10"/>
    <s v=""/>
    <n v="-10"/>
    <n v="-324.7"/>
    <n v="0"/>
    <n v="1"/>
    <s v="Non conforme"/>
    <m/>
    <m/>
    <n v="0"/>
    <n v="0"/>
    <n v="0"/>
    <s v="Non"/>
    <s v="Non"/>
    <s v="Non"/>
    <n v="1.0842000000000001"/>
    <n v="15.873426939970063"/>
    <x v="0"/>
    <s v="--"/>
    <x v="1"/>
    <n v="0"/>
    <n v="1"/>
    <m/>
    <s v=""/>
    <m/>
    <m/>
    <m/>
    <m/>
    <m/>
  </r>
  <r>
    <x v="121"/>
    <n v="259952991"/>
    <x v="0"/>
    <s v="sell"/>
    <n v="0.5"/>
    <n v="29460.2"/>
    <n v="29470.2"/>
    <n v="29400.2"/>
    <x v="121"/>
    <n v="29470.23"/>
    <n v="0"/>
    <n v="0"/>
    <n v="-4.63"/>
    <n v="122"/>
    <n v="-153.83999999999995"/>
    <n v="846.16000000000008"/>
    <x v="9"/>
    <x v="1"/>
    <d v="1900-01-05T00:00:00"/>
    <n v="10"/>
    <n v="0"/>
    <s v=""/>
    <n v="10"/>
    <n v="60"/>
    <n v="6"/>
    <n v="-1"/>
    <n v="850.79000000000008"/>
    <n v="846.16000000000008"/>
    <d v="2020-02-14T09:23:01"/>
    <n v="867.85"/>
    <n v="0"/>
    <d v="2020-02-14T19:53:47"/>
    <n v="775.01"/>
    <n v="0"/>
    <e v="#N/A"/>
    <n v="-5.4420009638101001E-3"/>
    <s v=""/>
    <n v="1052.8399999999999"/>
    <n v="846.16000000000008"/>
    <n v="-0.19630713118802467"/>
    <n v="-10"/>
    <s v=""/>
    <n v="-10"/>
    <n v="-334.7"/>
    <n v="0"/>
    <n v="1"/>
    <s v="Non conforme"/>
    <m/>
    <m/>
    <n v="0"/>
    <n v="0"/>
    <n v="0"/>
    <s v="Non"/>
    <s v="Non"/>
    <s v="Non"/>
    <n v="1.0842000000000001"/>
    <n v="15.968860079974412"/>
    <x v="0"/>
    <s v="--"/>
    <x v="1"/>
    <n v="0"/>
    <n v="1"/>
    <m/>
    <n v="29400.2"/>
    <m/>
    <m/>
    <m/>
    <m/>
    <m/>
  </r>
  <r>
    <x v="122"/>
    <n v="259957219"/>
    <x v="0"/>
    <s v="buy"/>
    <n v="0.5"/>
    <n v="29466.37"/>
    <n v="29456.37"/>
    <n v="29586.37"/>
    <x v="122"/>
    <n v="29456.3"/>
    <n v="0"/>
    <n v="0"/>
    <n v="-4.6500000000000004"/>
    <n v="123"/>
    <n v="-158.48999999999995"/>
    <n v="841.51"/>
    <x v="9"/>
    <x v="1"/>
    <d v="1900-01-05T00:00:00"/>
    <n v="12"/>
    <n v="0"/>
    <s v=""/>
    <n v="10"/>
    <n v="120"/>
    <n v="12"/>
    <n v="-1"/>
    <n v="846.16"/>
    <n v="841.51"/>
    <d v="2020-02-14T09:23:01"/>
    <n v="867.85"/>
    <n v="0"/>
    <d v="2020-02-14T19:53:47"/>
    <n v="775.01"/>
    <n v="0"/>
    <e v="#N/A"/>
    <n v="-5.4954145788030364E-3"/>
    <s v=""/>
    <n v="1052.8399999999999"/>
    <n v="841.51"/>
    <n v="-0.20072375669617415"/>
    <n v="-10.1"/>
    <s v=""/>
    <n v="-10.1"/>
    <n v="-344.8"/>
    <n v="0"/>
    <n v="1"/>
    <s v="Non conforme"/>
    <m/>
    <m/>
    <n v="0"/>
    <n v="0"/>
    <n v="0"/>
    <s v="Non"/>
    <s v="Non"/>
    <s v="Non"/>
    <n v="1.0842000000000001"/>
    <n v="16.059600883303801"/>
    <x v="0"/>
    <s v="--"/>
    <x v="1"/>
    <n v="0"/>
    <n v="1"/>
    <m/>
    <n v="29586.37"/>
    <m/>
    <m/>
    <m/>
    <m/>
    <m/>
  </r>
  <r>
    <x v="123"/>
    <n v="259981344"/>
    <x v="0"/>
    <s v="buy"/>
    <n v="0.5"/>
    <n v="29405.51"/>
    <n v="29395.51"/>
    <m/>
    <x v="123"/>
    <n v="29395.47"/>
    <n v="0"/>
    <n v="0"/>
    <n v="-4.62"/>
    <n v="124"/>
    <n v="-163.10999999999996"/>
    <n v="836.8900000000001"/>
    <x v="9"/>
    <x v="1"/>
    <d v="1900-01-05T00:00:00"/>
    <n v="15"/>
    <n v="0"/>
    <s v=""/>
    <n v="10"/>
    <n v="200"/>
    <n v="20"/>
    <n v="-1"/>
    <n v="841.5100000000001"/>
    <n v="836.8900000000001"/>
    <d v="2020-02-14T09:23:01"/>
    <n v="867.85"/>
    <n v="0"/>
    <d v="2020-02-14T19:53:47"/>
    <n v="775.01"/>
    <n v="0"/>
    <e v="#N/A"/>
    <n v="-5.490130836234868E-3"/>
    <s v=""/>
    <n v="1052.8399999999999"/>
    <n v="836.8900000000001"/>
    <n v="-0.20511188784620626"/>
    <n v="-10"/>
    <s v=""/>
    <n v="-10"/>
    <n v="-354.8"/>
    <n v="0"/>
    <n v="1"/>
    <s v="Non conforme"/>
    <m/>
    <m/>
    <n v="0"/>
    <n v="0"/>
    <n v="0"/>
    <s v="Non"/>
    <s v="Non"/>
    <s v="Non"/>
    <n v="1.0842000000000001"/>
    <n v="16.114989846904955"/>
    <x v="0"/>
    <s v="--"/>
    <x v="1"/>
    <n v="0"/>
    <n v="1"/>
    <m/>
    <s v=""/>
    <m/>
    <m/>
    <m/>
    <m/>
    <m/>
  </r>
  <r>
    <x v="124"/>
    <n v="259981653"/>
    <x v="0"/>
    <s v="buy"/>
    <n v="0.5"/>
    <n v="29398.71"/>
    <n v="29388.71"/>
    <n v="29578.71"/>
    <x v="124"/>
    <n v="29388.63"/>
    <n v="0"/>
    <n v="0"/>
    <n v="-4.6399999999999997"/>
    <n v="125"/>
    <n v="-167.74999999999994"/>
    <n v="832.25"/>
    <x v="9"/>
    <x v="1"/>
    <d v="1900-01-05T00:00:00"/>
    <n v="15"/>
    <n v="0"/>
    <s v=""/>
    <n v="10"/>
    <n v="180"/>
    <n v="18"/>
    <n v="-1"/>
    <n v="836.89"/>
    <n v="832.25"/>
    <d v="2020-02-14T09:23:01"/>
    <n v="867.85"/>
    <n v="0"/>
    <d v="2020-02-14T19:53:47"/>
    <n v="775.01"/>
    <n v="0"/>
    <e v="#N/A"/>
    <n v="-5.5443367706627953E-3"/>
    <s v=""/>
    <n v="1052.8399999999999"/>
    <n v="832.25"/>
    <n v="-0.2095190152349834"/>
    <n v="-10.1"/>
    <s v=""/>
    <n v="-10.1"/>
    <n v="-364.90000000000003"/>
    <n v="0"/>
    <n v="1"/>
    <s v="Non conforme"/>
    <m/>
    <m/>
    <n v="0"/>
    <n v="0"/>
    <n v="0"/>
    <s v="Non"/>
    <s v="Non"/>
    <s v="Non"/>
    <n v="1.0842000000000001"/>
    <n v="16.200204511097933"/>
    <x v="0"/>
    <s v="--"/>
    <x v="1"/>
    <n v="0"/>
    <n v="1"/>
    <m/>
    <n v="29578.71"/>
    <m/>
    <m/>
    <m/>
    <m/>
    <m/>
  </r>
  <r>
    <x v="125"/>
    <n v="259984057"/>
    <x v="0"/>
    <s v="buy"/>
    <n v="0.5"/>
    <n v="29391.79"/>
    <n v="29381.79"/>
    <n v="29591.79"/>
    <x v="125"/>
    <n v="29381.73"/>
    <n v="0"/>
    <n v="0"/>
    <n v="-4.6399999999999997"/>
    <n v="126"/>
    <n v="-172.38999999999993"/>
    <n v="827.61000000000013"/>
    <x v="9"/>
    <x v="1"/>
    <d v="1900-01-05T00:00:00"/>
    <n v="16"/>
    <n v="0"/>
    <s v=""/>
    <n v="10"/>
    <n v="200"/>
    <n v="20"/>
    <n v="-1"/>
    <n v="832.25000000000011"/>
    <n v="827.61000000000013"/>
    <d v="2020-02-14T09:23:01"/>
    <n v="867.85"/>
    <n v="0"/>
    <d v="2020-02-14T19:53:47"/>
    <n v="775.01"/>
    <n v="0"/>
    <e v="#N/A"/>
    <n v="-5.575247822168802E-3"/>
    <s v=""/>
    <n v="1052.8399999999999"/>
    <n v="827.61000000000013"/>
    <n v="-0.21392614262376031"/>
    <n v="-10.1"/>
    <s v=""/>
    <n v="-10.1"/>
    <n v="-375.00000000000006"/>
    <n v="0"/>
    <n v="1"/>
    <s v="Non conforme"/>
    <m/>
    <m/>
    <n v="0"/>
    <n v="0"/>
    <n v="0"/>
    <s v="Non"/>
    <s v="Non"/>
    <s v="Non"/>
    <n v="1.0842000000000001"/>
    <n v="16.286690129376268"/>
    <x v="0"/>
    <s v="--"/>
    <x v="1"/>
    <n v="0"/>
    <n v="1"/>
    <m/>
    <n v="29591.79"/>
    <m/>
    <m/>
    <m/>
    <m/>
    <m/>
  </r>
  <r>
    <x v="126"/>
    <n v="259986491"/>
    <x v="0"/>
    <s v="buy"/>
    <n v="0.5"/>
    <n v="29383.75"/>
    <n v="29373.75"/>
    <n v="29589.31"/>
    <x v="126"/>
    <n v="29373.66"/>
    <n v="0"/>
    <n v="0"/>
    <n v="-4.6500000000000004"/>
    <n v="127"/>
    <n v="-177.03999999999994"/>
    <n v="822.96"/>
    <x v="9"/>
    <x v="1"/>
    <d v="1900-01-05T00:00:00"/>
    <n v="16"/>
    <n v="0"/>
    <s v=""/>
    <n v="10"/>
    <n v="205.6"/>
    <n v="20.6"/>
    <n v="-1"/>
    <n v="827.61"/>
    <n v="822.96"/>
    <d v="2020-02-14T09:23:01"/>
    <n v="867.85"/>
    <n v="0"/>
    <d v="2020-02-14T19:53:47"/>
    <n v="775.01"/>
    <n v="0"/>
    <e v="#N/A"/>
    <n v="-5.6185884655815871E-3"/>
    <s v=""/>
    <n v="1052.8399999999999"/>
    <n v="822.96"/>
    <n v="-0.21834276813190978"/>
    <n v="-10.1"/>
    <s v=""/>
    <n v="-10.1"/>
    <n v="-385.10000000000008"/>
    <n v="0"/>
    <n v="1"/>
    <s v="Non conforme"/>
    <m/>
    <m/>
    <n v="0"/>
    <n v="0"/>
    <n v="0"/>
    <s v="Non"/>
    <s v="Non"/>
    <s v="Non"/>
    <n v="1.0842000000000001"/>
    <n v="16.373521413691254"/>
    <x v="0"/>
    <s v="--"/>
    <x v="1"/>
    <n v="0"/>
    <n v="1"/>
    <m/>
    <n v="29589.31"/>
    <m/>
    <m/>
    <m/>
    <m/>
    <m/>
  </r>
  <r>
    <x v="127"/>
    <n v="259986814"/>
    <x v="0"/>
    <s v="sell"/>
    <n v="0.5"/>
    <n v="29371.58"/>
    <n v="29381.58"/>
    <m/>
    <x v="127"/>
    <n v="29381.67"/>
    <n v="0"/>
    <n v="0"/>
    <n v="-4.6500000000000004"/>
    <n v="128"/>
    <n v="-181.68999999999994"/>
    <n v="818.31000000000006"/>
    <x v="9"/>
    <x v="1"/>
    <d v="1900-01-05T00:00:00"/>
    <n v="16"/>
    <n v="0"/>
    <s v=""/>
    <n v="10"/>
    <n v="200"/>
    <n v="20"/>
    <n v="-1"/>
    <n v="822.96"/>
    <n v="818.31000000000006"/>
    <d v="2020-02-14T09:23:01"/>
    <n v="867.85"/>
    <n v="0"/>
    <d v="2020-02-14T19:53:47"/>
    <n v="775.01"/>
    <n v="0"/>
    <e v="#N/A"/>
    <n v="-5.6503353747447953E-3"/>
    <s v=""/>
    <n v="1052.8399999999999"/>
    <n v="818.31000000000006"/>
    <n v="-0.22275939364005914"/>
    <n v="-10.1"/>
    <s v=""/>
    <n v="-10.1"/>
    <n v="-395.2000000000001"/>
    <n v="0"/>
    <n v="1"/>
    <s v="Non conforme"/>
    <m/>
    <m/>
    <n v="0"/>
    <n v="0"/>
    <n v="0"/>
    <s v="Non"/>
    <s v="Non"/>
    <s v="Non"/>
    <n v="1.0842000000000001"/>
    <n v="16.459217488158114"/>
    <x v="0"/>
    <s v="--"/>
    <x v="1"/>
    <n v="0"/>
    <n v="1"/>
    <m/>
    <s v=""/>
    <m/>
    <m/>
    <m/>
    <m/>
    <m/>
  </r>
  <r>
    <x v="128"/>
    <n v="259987332"/>
    <x v="0"/>
    <s v="sell"/>
    <n v="0.5"/>
    <n v="29389.51"/>
    <n v="29399.51"/>
    <m/>
    <x v="128"/>
    <n v="29399.52"/>
    <n v="0"/>
    <n v="0"/>
    <n v="-4.62"/>
    <n v="129"/>
    <n v="-186.30999999999995"/>
    <n v="813.69"/>
    <x v="9"/>
    <x v="1"/>
    <d v="1900-01-05T00:00:00"/>
    <n v="16"/>
    <n v="0"/>
    <s v=""/>
    <n v="10"/>
    <n v="200"/>
    <n v="20"/>
    <n v="-1"/>
    <n v="818.31000000000006"/>
    <n v="813.69"/>
    <d v="2020-02-14T09:23:01"/>
    <n v="867.85"/>
    <n v="0"/>
    <d v="2020-02-14T19:53:47"/>
    <n v="775.01"/>
    <n v="0"/>
    <e v="#N/A"/>
    <n v="-5.6457821607948143E-3"/>
    <s v=""/>
    <n v="1052.8399999999999"/>
    <n v="813.69"/>
    <n v="-0.22714752479009148"/>
    <n v="-10"/>
    <s v=""/>
    <n v="-10"/>
    <n v="-405.2000000000001"/>
    <n v="0"/>
    <n v="1"/>
    <s v="Non conforme"/>
    <m/>
    <m/>
    <n v="0"/>
    <n v="0"/>
    <n v="0"/>
    <s v="Non"/>
    <s v="Non"/>
    <s v="Non"/>
    <n v="1.0842000000000001"/>
    <n v="16.562850745627337"/>
    <x v="0"/>
    <s v="--"/>
    <x v="1"/>
    <n v="0"/>
    <n v="1"/>
    <m/>
    <s v=""/>
    <m/>
    <m/>
    <m/>
    <m/>
    <m/>
  </r>
  <r>
    <x v="129"/>
    <n v="259990956"/>
    <x v="0"/>
    <s v="buy"/>
    <n v="0.5"/>
    <n v="29429.85"/>
    <n v="29419.85"/>
    <n v="29590.25"/>
    <x v="129"/>
    <n v="29419.57"/>
    <n v="0"/>
    <n v="0"/>
    <n v="-4.74"/>
    <n v="130"/>
    <n v="-191.04999999999995"/>
    <n v="808.95"/>
    <x v="9"/>
    <x v="1"/>
    <d v="1900-01-05T00:00:00"/>
    <n v="16"/>
    <n v="0"/>
    <s v=""/>
    <n v="10"/>
    <n v="160.4"/>
    <n v="16"/>
    <n v="-1"/>
    <n v="813.69"/>
    <n v="808.95"/>
    <d v="2020-02-14T09:23:01"/>
    <n v="867.85"/>
    <n v="0"/>
    <d v="2020-02-14T19:53:47"/>
    <n v="775.01"/>
    <n v="0"/>
    <e v="#N/A"/>
    <n v="-5.8253143088891459E-3"/>
    <s v=""/>
    <n v="1052.8399999999999"/>
    <n v="808.95"/>
    <n v="-0.23164963337259215"/>
    <n v="-10.3"/>
    <s v=""/>
    <n v="-10.3"/>
    <n v="-415.50000000000011"/>
    <n v="0"/>
    <n v="1"/>
    <s v="Non conforme"/>
    <m/>
    <m/>
    <n v="0"/>
    <n v="0"/>
    <n v="0"/>
    <s v="Non"/>
    <s v="Non"/>
    <s v="Non"/>
    <n v="1.0842000000000001"/>
    <n v="16.679755155316922"/>
    <x v="0"/>
    <s v="--"/>
    <x v="1"/>
    <n v="0"/>
    <n v="1"/>
    <m/>
    <n v="29590.25"/>
    <m/>
    <m/>
    <m/>
    <m/>
    <m/>
  </r>
  <r>
    <x v="130"/>
    <n v="259991186"/>
    <x v="0"/>
    <s v="buy"/>
    <n v="0.4"/>
    <n v="29424.67"/>
    <n v="29414.67"/>
    <m/>
    <x v="130"/>
    <n v="29414.59"/>
    <n v="0"/>
    <n v="0"/>
    <n v="-3.72"/>
    <n v="131"/>
    <n v="-194.76999999999995"/>
    <n v="805.23"/>
    <x v="9"/>
    <x v="1"/>
    <d v="1900-01-05T00:00:00"/>
    <n v="17"/>
    <n v="0"/>
    <s v=""/>
    <n v="10"/>
    <n v="200"/>
    <n v="20"/>
    <n v="-1"/>
    <n v="808.95"/>
    <n v="805.23"/>
    <d v="2020-02-14T09:23:01"/>
    <n v="867.85"/>
    <n v="0"/>
    <d v="2020-02-14T19:53:47"/>
    <n v="775.01"/>
    <n v="0"/>
    <e v="#N/A"/>
    <n v="-4.5985536806972338E-3"/>
    <s v=""/>
    <n v="1052.8399999999999"/>
    <n v="805.23"/>
    <n v="-0.2351829337791117"/>
    <n v="-10.1"/>
    <s v=""/>
    <n v="-10.1"/>
    <n v="-425.60000000000014"/>
    <n v="0"/>
    <n v="1"/>
    <s v="Non conforme"/>
    <m/>
    <m/>
    <n v="0"/>
    <n v="0"/>
    <n v="0"/>
    <s v="Non"/>
    <s v="Non"/>
    <s v="Non"/>
    <n v="1.0842000000000001"/>
    <n v="13.419629014584904"/>
    <x v="0"/>
    <s v="--"/>
    <x v="1"/>
    <n v="0"/>
    <n v="1"/>
    <m/>
    <s v=""/>
    <m/>
    <m/>
    <m/>
    <m/>
    <m/>
  </r>
  <r>
    <x v="131"/>
    <n v="259992349"/>
    <x v="0"/>
    <s v="sell"/>
    <n v="0.4"/>
    <n v="29413.55"/>
    <n v="29423.55"/>
    <m/>
    <x v="131"/>
    <n v="29403.8"/>
    <n v="0"/>
    <n v="0"/>
    <n v="3.6"/>
    <n v="132"/>
    <n v="-191.16999999999996"/>
    <n v="808.83"/>
    <x v="9"/>
    <x v="1"/>
    <d v="1900-01-05T00:00:00"/>
    <n v="17"/>
    <n v="0"/>
    <s v=""/>
    <n v="10"/>
    <n v="200"/>
    <n v="20"/>
    <n v="1"/>
    <n v="805.23"/>
    <n v="808.83"/>
    <d v="2020-02-14T09:23:01"/>
    <n v="867.85"/>
    <n v="0"/>
    <d v="2020-02-14T19:53:47"/>
    <n v="775.01"/>
    <n v="0"/>
    <e v="#N/A"/>
    <n v="4.470772325919331E-3"/>
    <s v=""/>
    <n v="1052.8399999999999"/>
    <n v="808.83"/>
    <n v="-0.23176361080506047"/>
    <n v="9.8000000000000007"/>
    <n v="9.8000000000000007"/>
    <s v=""/>
    <n v="-415.80000000000013"/>
    <n v="0"/>
    <n v="1"/>
    <s v="Non conforme"/>
    <m/>
    <m/>
    <n v="0"/>
    <n v="0"/>
    <n v="0"/>
    <s v="Non"/>
    <s v="Non"/>
    <s v="Non"/>
    <n v="1.0842000000000001"/>
    <n v="13.47653009357065"/>
    <x v="0"/>
    <s v="+"/>
    <x v="0"/>
    <n v="1"/>
    <n v="0"/>
    <m/>
    <s v=""/>
    <m/>
    <m/>
    <m/>
    <m/>
    <m/>
  </r>
  <r>
    <x v="132"/>
    <n v="259992975"/>
    <x v="0"/>
    <s v="buy"/>
    <n v="0.45"/>
    <n v="29403.602220000001"/>
    <n v="29393.599999999999"/>
    <n v="29583.599999999999"/>
    <x v="132"/>
    <n v="29393.51"/>
    <n v="0"/>
    <n v="0"/>
    <n v="-4.1900000000000004"/>
    <n v="133"/>
    <n v="-195.35999999999996"/>
    <n v="804.6400000000001"/>
    <x v="9"/>
    <x v="1"/>
    <d v="1900-01-05T00:00:00"/>
    <n v="17"/>
    <n v="0"/>
    <s v=""/>
    <n v="10"/>
    <n v="180"/>
    <n v="18"/>
    <n v="-1"/>
    <n v="808.83000000000015"/>
    <n v="804.6400000000001"/>
    <d v="2020-02-14T09:23:01"/>
    <n v="867.85"/>
    <n v="0"/>
    <d v="2020-02-14T19:53:47"/>
    <n v="775.01"/>
    <n v="0"/>
    <e v="#N/A"/>
    <n v="-5.1803221937861523E-3"/>
    <s v=""/>
    <n v="1052.8399999999999"/>
    <n v="804.6400000000001"/>
    <n v="-0.2357433228220811"/>
    <n v="-10.1"/>
    <s v=""/>
    <n v="-10.1"/>
    <n v="-425.90000000000015"/>
    <n v="0"/>
    <n v="1"/>
    <s v="Non conforme"/>
    <m/>
    <m/>
    <n v="0"/>
    <n v="0"/>
    <n v="0"/>
    <s v="Non"/>
    <s v="Non"/>
    <s v="Non"/>
    <n v="1.0842000000000001"/>
    <n v="15.088511512263082"/>
    <x v="0"/>
    <s v="--"/>
    <x v="1"/>
    <n v="0"/>
    <n v="1"/>
    <m/>
    <n v="29583.599999999999"/>
    <m/>
    <m/>
    <m/>
    <m/>
    <m/>
  </r>
  <r>
    <x v="133"/>
    <n v="259993875"/>
    <x v="0"/>
    <s v="buy"/>
    <n v="0.45"/>
    <n v="29397.71"/>
    <n v="29387.71"/>
    <n v="29597.71"/>
    <x v="133"/>
    <n v="29404.71"/>
    <n v="0"/>
    <n v="0"/>
    <n v="2.91"/>
    <n v="134"/>
    <n v="-192.44999999999996"/>
    <n v="807.55000000000007"/>
    <x v="9"/>
    <x v="1"/>
    <d v="1900-01-05T00:00:00"/>
    <n v="17"/>
    <n v="0"/>
    <s v=""/>
    <n v="10"/>
    <n v="200"/>
    <n v="20"/>
    <n v="0.7"/>
    <n v="804.6400000000001"/>
    <n v="807.55000000000007"/>
    <d v="2020-02-14T09:23:01"/>
    <n v="867.85"/>
    <n v="0"/>
    <d v="2020-02-14T19:53:47"/>
    <n v="775.01"/>
    <n v="0"/>
    <e v="#N/A"/>
    <n v="3.6165241598726983E-3"/>
    <s v=""/>
    <n v="1052.8399999999999"/>
    <n v="807.55000000000007"/>
    <n v="-0.23297937008472314"/>
    <n v="7"/>
    <n v="7"/>
    <s v=""/>
    <n v="-418.90000000000015"/>
    <n v="0"/>
    <n v="1"/>
    <s v="Non conforme"/>
    <m/>
    <m/>
    <n v="0"/>
    <n v="0"/>
    <n v="0"/>
    <s v="Non"/>
    <s v="Non"/>
    <s v="Non"/>
    <n v="1.0842000000000001"/>
    <n v="15.164042535034483"/>
    <x v="0"/>
    <s v="+"/>
    <x v="0"/>
    <n v="1"/>
    <n v="0"/>
    <m/>
    <n v="29597.71"/>
    <m/>
    <m/>
    <m/>
    <m/>
    <m/>
  </r>
  <r>
    <x v="134"/>
    <n v="259996431"/>
    <x v="0"/>
    <s v="buy"/>
    <n v="0.45"/>
    <n v="29398.82"/>
    <n v="29392.21"/>
    <m/>
    <x v="134"/>
    <n v="29391.67"/>
    <n v="0"/>
    <n v="0"/>
    <n v="-2.97"/>
    <n v="135"/>
    <n v="-195.41999999999996"/>
    <n v="804.58"/>
    <x v="9"/>
    <x v="1"/>
    <d v="1900-01-05T00:00:00"/>
    <n v="17"/>
    <n v="0"/>
    <s v=""/>
    <n v="6.6"/>
    <n v="200"/>
    <n v="30.3"/>
    <n v="-0.7"/>
    <n v="807.55000000000007"/>
    <n v="804.58"/>
    <d v="2020-02-14T09:23:01"/>
    <n v="867.85"/>
    <n v="0"/>
    <d v="2020-02-14T19:53:47"/>
    <n v="775.01"/>
    <n v="0"/>
    <e v="#N/A"/>
    <n v="-3.6777908488638809E-3"/>
    <s v=""/>
    <n v="1052.8399999999999"/>
    <n v="804.58"/>
    <n v="-0.23580031153831527"/>
    <n v="-7.2"/>
    <s v=""/>
    <n v="-7.2"/>
    <n v="-426.10000000000014"/>
    <n v="0"/>
    <n v="1"/>
    <s v="Non conforme"/>
    <m/>
    <m/>
    <n v="0"/>
    <n v="0"/>
    <n v="0"/>
    <s v="Non"/>
    <s v="Non"/>
    <s v="Non"/>
    <n v="1.0842000000000001"/>
    <n v="15.109969529746197"/>
    <x v="0"/>
    <s v="--"/>
    <x v="1"/>
    <n v="0"/>
    <n v="1"/>
    <m/>
    <s v=""/>
    <m/>
    <m/>
    <m/>
    <m/>
    <m/>
  </r>
  <r>
    <x v="135"/>
    <n v="259996559"/>
    <x v="0"/>
    <s v="buy"/>
    <n v="0.45"/>
    <n v="29395.62"/>
    <n v="29385.62"/>
    <n v="29595.62"/>
    <x v="135"/>
    <n v="29384.79"/>
    <n v="0"/>
    <n v="0"/>
    <n v="-4.49"/>
    <n v="136"/>
    <n v="-199.90999999999997"/>
    <n v="800.09"/>
    <x v="9"/>
    <x v="1"/>
    <d v="1900-01-05T00:00:00"/>
    <n v="18"/>
    <n v="0"/>
    <s v=""/>
    <n v="10"/>
    <n v="200"/>
    <n v="20"/>
    <n v="-1.1000000000000001"/>
    <n v="804.58"/>
    <n v="800.09"/>
    <d v="2020-02-14T09:23:01"/>
    <n v="867.85"/>
    <n v="0"/>
    <d v="2020-02-14T19:53:47"/>
    <n v="775.01"/>
    <n v="0"/>
    <e v="#N/A"/>
    <n v="-5.5805513435581407E-3"/>
    <s v=""/>
    <n v="1052.8399999999999"/>
    <n v="800.09"/>
    <n v="-0.24006496713650693"/>
    <n v="-10.8"/>
    <s v=""/>
    <n v="-10.8"/>
    <n v="-436.90000000000015"/>
    <n v="0"/>
    <n v="1"/>
    <s v="Non conforme"/>
    <m/>
    <m/>
    <n v="0"/>
    <n v="0"/>
    <n v="0"/>
    <s v="Non"/>
    <s v="Non"/>
    <s v="Non"/>
    <n v="1.0842000000000001"/>
    <n v="15.164095211802305"/>
    <x v="0"/>
    <s v="--"/>
    <x v="1"/>
    <n v="0"/>
    <n v="1"/>
    <m/>
    <n v="29595.62"/>
    <m/>
    <m/>
    <m/>
    <m/>
    <m/>
  </r>
  <r>
    <x v="136"/>
    <n v="259997243"/>
    <x v="0"/>
    <s v="sell"/>
    <n v="0.45"/>
    <n v="29383.64"/>
    <n v="29393.64"/>
    <n v="29325.18"/>
    <x v="136"/>
    <n v="29393.919999999998"/>
    <n v="0"/>
    <n v="0"/>
    <n v="-4.2699999999999996"/>
    <n v="137"/>
    <n v="-204.17999999999998"/>
    <n v="795.82"/>
    <x v="9"/>
    <x v="1"/>
    <d v="1900-01-05T00:00:00"/>
    <n v="18"/>
    <n v="0"/>
    <s v=""/>
    <n v="10"/>
    <n v="58.5"/>
    <n v="5.9"/>
    <n v="-1"/>
    <n v="800.09"/>
    <n v="795.82"/>
    <d v="2020-02-14T09:23:01"/>
    <n v="867.85"/>
    <n v="0"/>
    <d v="2020-02-14T19:53:47"/>
    <n v="775.01"/>
    <n v="0"/>
    <e v="#N/A"/>
    <n v="-5.3368995987951124E-3"/>
    <s v=""/>
    <n v="1052.8399999999999"/>
    <n v="795.82"/>
    <n v="-0.24412066410850641"/>
    <n v="-10.3"/>
    <s v=""/>
    <n v="-10.3"/>
    <n v="-447.20000000000016"/>
    <n v="0"/>
    <n v="1"/>
    <s v="Non conforme"/>
    <m/>
    <m/>
    <n v="0"/>
    <n v="0"/>
    <n v="0"/>
    <s v="Non"/>
    <s v="Non"/>
    <s v="Non"/>
    <n v="1.0842000000000001"/>
    <n v="15.242979409420755"/>
    <x v="0"/>
    <s v="--"/>
    <x v="1"/>
    <n v="0"/>
    <n v="1"/>
    <m/>
    <n v="29325.18"/>
    <m/>
    <m/>
    <m/>
    <m/>
    <m/>
  </r>
  <r>
    <x v="137"/>
    <n v="259997899"/>
    <x v="0"/>
    <s v="sell"/>
    <n v="0.45"/>
    <n v="29385.69"/>
    <n v="29395.69"/>
    <m/>
    <x v="137"/>
    <n v="29383.91"/>
    <n v="0"/>
    <n v="0"/>
    <n v="0.74"/>
    <n v="138"/>
    <n v="-203.43999999999997"/>
    <n v="796.56000000000006"/>
    <x v="9"/>
    <x v="1"/>
    <d v="1900-01-05T00:00:00"/>
    <n v="18"/>
    <n v="0"/>
    <s v=""/>
    <n v="10"/>
    <n v="200"/>
    <n v="20"/>
    <n v="0.2"/>
    <n v="795.82"/>
    <n v="796.56000000000006"/>
    <d v="2020-02-14T09:23:01"/>
    <n v="867.85"/>
    <n v="0"/>
    <d v="2020-02-14T19:53:47"/>
    <n v="775.01"/>
    <n v="0"/>
    <e v="#N/A"/>
    <n v="9.2985851071851553E-4"/>
    <s v=""/>
    <n v="1052.8399999999999"/>
    <n v="796.56000000000006"/>
    <n v="-0.24341780327495144"/>
    <n v="1.8"/>
    <n v="1.8"/>
    <s v=""/>
    <n v="-445.40000000000015"/>
    <n v="0"/>
    <n v="1"/>
    <s v="Non conforme"/>
    <m/>
    <m/>
    <n v="0"/>
    <n v="0"/>
    <n v="0"/>
    <s v="Non"/>
    <s v="Non"/>
    <s v="Non"/>
    <n v="1.0842000000000001"/>
    <n v="15.325835306298874"/>
    <x v="0"/>
    <s v="+"/>
    <x v="0"/>
    <n v="1"/>
    <n v="0"/>
    <m/>
    <s v=""/>
    <m/>
    <m/>
    <m/>
    <m/>
    <m/>
  </r>
  <r>
    <x v="138"/>
    <n v="259999343"/>
    <x v="0"/>
    <s v="buy"/>
    <n v="0.45"/>
    <n v="29383.91"/>
    <n v="29373.91"/>
    <n v="29583.91"/>
    <x v="138"/>
    <n v="29373.58"/>
    <n v="0"/>
    <n v="0"/>
    <n v="-4.29"/>
    <n v="139"/>
    <n v="-207.72999999999996"/>
    <n v="792.27"/>
    <x v="9"/>
    <x v="1"/>
    <d v="1900-01-05T00:00:00"/>
    <n v="18"/>
    <n v="0"/>
    <s v=""/>
    <n v="10"/>
    <n v="200"/>
    <n v="20"/>
    <n v="-1"/>
    <n v="796.56"/>
    <n v="792.27"/>
    <d v="2020-02-14T09:23:01"/>
    <n v="867.85"/>
    <n v="0"/>
    <d v="2020-02-14T19:53:47"/>
    <n v="775.01"/>
    <n v="0"/>
    <e v="#N/A"/>
    <n v="-5.3856583308224916E-3"/>
    <s v=""/>
    <n v="1052.8399999999999"/>
    <n v="792.27"/>
    <n v="-0.24749249648569582"/>
    <n v="-10.3"/>
    <s v=""/>
    <n v="-10.3"/>
    <n v="-455.70000000000016"/>
    <n v="0"/>
    <n v="1"/>
    <s v="Non conforme"/>
    <m/>
    <m/>
    <n v="0"/>
    <n v="0"/>
    <n v="0"/>
    <s v="Non"/>
    <s v="Non"/>
    <s v="Non"/>
    <n v="1.0842000000000001"/>
    <n v="15.310670206736782"/>
    <x v="0"/>
    <s v="--"/>
    <x v="1"/>
    <n v="0"/>
    <n v="1"/>
    <m/>
    <n v="29583.91"/>
    <m/>
    <m/>
    <m/>
    <m/>
    <m/>
  </r>
  <r>
    <x v="139"/>
    <n v="259999736"/>
    <x v="0"/>
    <s v="buy"/>
    <n v="0.45"/>
    <n v="29373.83"/>
    <n v="29363.83"/>
    <n v="29583.83"/>
    <x v="139"/>
    <n v="29362.73"/>
    <n v="0"/>
    <n v="0"/>
    <n v="-4.6100000000000003"/>
    <n v="140"/>
    <n v="-212.33999999999997"/>
    <n v="787.66000000000008"/>
    <x v="9"/>
    <x v="1"/>
    <d v="1900-01-05T00:00:00"/>
    <n v="18"/>
    <n v="0"/>
    <s v=""/>
    <n v="10"/>
    <n v="210"/>
    <n v="21"/>
    <n v="-1.1000000000000001"/>
    <n v="792.2700000000001"/>
    <n v="787.66000000000008"/>
    <d v="2020-02-14T09:23:01"/>
    <n v="867.85"/>
    <n v="0"/>
    <d v="2020-02-14T19:53:47"/>
    <n v="775.01"/>
    <n v="0"/>
    <e v="#N/A"/>
    <n v="-5.8187234149974293E-3"/>
    <s v=""/>
    <n v="1052.8399999999999"/>
    <n v="787.66000000000008"/>
    <n v="-0.2518711295163556"/>
    <n v="-11.1"/>
    <s v=""/>
    <n v="-11.1"/>
    <n v="-466.80000000000018"/>
    <n v="0"/>
    <n v="1"/>
    <s v="Non conforme"/>
    <m/>
    <m/>
    <n v="0"/>
    <n v="0"/>
    <n v="0"/>
    <s v="Non"/>
    <s v="Non"/>
    <s v="Non"/>
    <n v="1.0842000000000001"/>
    <n v="15.388294053717956"/>
    <x v="0"/>
    <s v="--"/>
    <x v="1"/>
    <n v="0"/>
    <n v="1"/>
    <m/>
    <n v="29583.83"/>
    <m/>
    <m/>
    <m/>
    <m/>
    <m/>
  </r>
  <r>
    <x v="140"/>
    <n v="260000156"/>
    <x v="0"/>
    <s v="buy"/>
    <n v="0.45"/>
    <n v="29364.81"/>
    <n v="29354.81"/>
    <n v="29588.7"/>
    <x v="140"/>
    <n v="29354.66"/>
    <n v="0"/>
    <n v="0"/>
    <n v="-4.22"/>
    <n v="141"/>
    <n v="-216.55999999999997"/>
    <n v="783.44"/>
    <x v="9"/>
    <x v="1"/>
    <d v="1900-01-05T00:00:00"/>
    <n v="18"/>
    <n v="0"/>
    <s v=""/>
    <n v="10"/>
    <n v="223.9"/>
    <n v="22.4"/>
    <n v="-1"/>
    <n v="787.66000000000008"/>
    <n v="783.44"/>
    <d v="2020-02-14T09:23:01"/>
    <n v="867.85"/>
    <n v="0"/>
    <d v="2020-02-14T19:53:47"/>
    <n v="775.01"/>
    <n v="0"/>
    <e v="#N/A"/>
    <n v="-5.3576416220196873E-3"/>
    <s v=""/>
    <n v="1052.8399999999999"/>
    <n v="783.44"/>
    <n v="-0.25587933589149336"/>
    <n v="-10.199999999999999"/>
    <s v=""/>
    <n v="-10.199999999999999"/>
    <n v="-477.00000000000017"/>
    <n v="0"/>
    <n v="1"/>
    <s v="Non conforme"/>
    <m/>
    <m/>
    <n v="0"/>
    <n v="0"/>
    <n v="0"/>
    <s v="Non"/>
    <s v="Non"/>
    <s v="Non"/>
    <n v="1.0842000000000001"/>
    <n v="15.473605306512612"/>
    <x v="0"/>
    <s v="--"/>
    <x v="1"/>
    <n v="0"/>
    <n v="1"/>
    <m/>
    <n v="29588.7"/>
    <m/>
    <m/>
    <m/>
    <m/>
    <m/>
  </r>
  <r>
    <x v="141"/>
    <n v="260002560"/>
    <x v="0"/>
    <s v="buy"/>
    <n v="0.45"/>
    <n v="29323.9"/>
    <n v="29313.9"/>
    <m/>
    <x v="141"/>
    <n v="29313.75"/>
    <n v="0"/>
    <n v="0"/>
    <n v="-4.21"/>
    <n v="142"/>
    <n v="-220.76999999999998"/>
    <n v="779.23"/>
    <x v="9"/>
    <x v="1"/>
    <d v="1900-01-05T00:00:00"/>
    <n v="19"/>
    <n v="0"/>
    <s v=""/>
    <n v="10"/>
    <n v="200"/>
    <n v="20"/>
    <n v="-1"/>
    <n v="783.44"/>
    <n v="779.23"/>
    <d v="2020-02-14T09:23:01"/>
    <n v="867.85"/>
    <n v="0"/>
    <d v="2020-02-14T19:53:47"/>
    <n v="775.01"/>
    <n v="0"/>
    <e v="#N/A"/>
    <n v="-5.3737363422853516E-3"/>
    <s v=""/>
    <n v="1052.8399999999999"/>
    <n v="779.23"/>
    <n v="-0.25987804414725879"/>
    <n v="-10.199999999999999"/>
    <s v=""/>
    <n v="-10.199999999999999"/>
    <n v="-487.20000000000016"/>
    <n v="0"/>
    <n v="1"/>
    <s v="Non conforme"/>
    <m/>
    <m/>
    <n v="0"/>
    <n v="0"/>
    <n v="0"/>
    <s v="Non"/>
    <s v="Non"/>
    <s v="Non"/>
    <n v="1.0842000000000001"/>
    <n v="15.53528050004207"/>
    <x v="0"/>
    <s v="--"/>
    <x v="1"/>
    <n v="0"/>
    <n v="1"/>
    <m/>
    <s v=""/>
    <m/>
    <m/>
    <m/>
    <m/>
    <m/>
  </r>
  <r>
    <x v="142"/>
    <n v="260004073"/>
    <x v="0"/>
    <s v="buy"/>
    <n v="0.45"/>
    <n v="29317.96"/>
    <n v="29307.96"/>
    <m/>
    <x v="142"/>
    <n v="29307.78"/>
    <n v="0"/>
    <n v="0"/>
    <n v="-4.22"/>
    <n v="143"/>
    <n v="-224.98999999999998"/>
    <n v="775.01"/>
    <x v="9"/>
    <x v="1"/>
    <d v="1900-01-05T00:00:00"/>
    <n v="19"/>
    <n v="0"/>
    <s v=""/>
    <n v="10"/>
    <n v="200"/>
    <n v="20"/>
    <n v="-1"/>
    <n v="779.23"/>
    <n v="775.01"/>
    <d v="2020-02-14T09:23:01"/>
    <n v="867.85"/>
    <n v="0"/>
    <d v="2020-02-14T19:53:47"/>
    <n v="775.01"/>
    <n v="775.01"/>
    <n v="775.01"/>
    <n v="-5.4156025820361478E-3"/>
    <s v=""/>
    <n v="1052.8399999999999"/>
    <n v="775.01"/>
    <n v="-0.26388625052239656"/>
    <n v="-10.199999999999999"/>
    <s v=""/>
    <n v="-10.199999999999999"/>
    <n v="-497.40000000000015"/>
    <n v="0"/>
    <n v="1"/>
    <s v="Non conforme"/>
    <m/>
    <m/>
    <n v="0"/>
    <n v="0"/>
    <n v="0"/>
    <s v="Non"/>
    <s v="Non"/>
    <s v="Non"/>
    <n v="1.0842000000000001"/>
    <n v="15.616050129829965"/>
    <x v="0"/>
    <s v="--"/>
    <x v="1"/>
    <n v="0"/>
    <n v="1"/>
    <m/>
    <s v=""/>
    <m/>
    <m/>
    <m/>
    <m/>
    <m/>
  </r>
  <r>
    <x v="143"/>
    <n v="260008223"/>
    <x v="0"/>
    <s v="buy"/>
    <n v="0.45"/>
    <n v="29351.15"/>
    <n v="29352.65"/>
    <n v="29590.13"/>
    <x v="143"/>
    <n v="29460.82"/>
    <n v="0"/>
    <n v="-3.69"/>
    <n v="45.53"/>
    <n v="144"/>
    <n v="-183.14999999999998"/>
    <n v="816.85"/>
    <x v="10"/>
    <x v="2"/>
    <d v="1900-01-01T00:00:00"/>
    <n v="8"/>
    <n v="1"/>
    <n v="2"/>
    <n v="-1.5"/>
    <n v="239"/>
    <n v="23.9"/>
    <n v="11"/>
    <n v="775.0100000000001"/>
    <n v="816.85"/>
    <d v="2020-02-14T21:38:27"/>
    <n v="775.0100000000001"/>
    <n v="775.0100000000001"/>
    <d v="2020-02-17T10:08:13"/>
    <n v="817.34"/>
    <n v="0"/>
    <e v="#N/A"/>
    <n v="5.3986400175481494E-2"/>
    <n v="5.4618650081934325E-2"/>
    <n v="1052.8399999999999"/>
    <n v="816.85"/>
    <n v="-0.22414611906842441"/>
    <n v="109.7"/>
    <n v="109.7"/>
    <s v=""/>
    <n v="-387.70000000000016"/>
    <n v="0"/>
    <n v="1"/>
    <s v="Non conforme"/>
    <m/>
    <m/>
    <n v="0"/>
    <n v="0"/>
    <n v="0"/>
    <s v="Non"/>
    <s v="Oui"/>
    <s v="Non"/>
    <n v="1.0834999999999999"/>
    <n v="15.729010912862153"/>
    <x v="0"/>
    <s v="++"/>
    <x v="0"/>
    <n v="1"/>
    <n v="0"/>
    <m/>
    <n v="29590.13"/>
    <m/>
    <m/>
    <m/>
    <m/>
    <m/>
  </r>
  <r>
    <x v="144"/>
    <n v="260027469"/>
    <x v="0"/>
    <s v="buy"/>
    <n v="0.45"/>
    <n v="29446.05"/>
    <n v="29447.55"/>
    <n v="29526.05"/>
    <x v="144"/>
    <n v="29447.22"/>
    <n v="0"/>
    <n v="0"/>
    <n v="0.49"/>
    <n v="145"/>
    <n v="-182.65999999999997"/>
    <n v="817.34"/>
    <x v="10"/>
    <x v="2"/>
    <d v="1900-01-01T00:00:00"/>
    <n v="11"/>
    <n v="0"/>
    <s v=""/>
    <n v="-1.5"/>
    <n v="80"/>
    <n v="8"/>
    <n v="0.1"/>
    <n v="816.85"/>
    <n v="817.34"/>
    <d v="2020-02-14T21:38:27"/>
    <n v="775.0100000000001"/>
    <n v="0"/>
    <d v="2020-02-17T10:08:13"/>
    <n v="817.34"/>
    <n v="817.34"/>
    <n v="817.34"/>
    <n v="5.9986533635307472E-4"/>
    <s v=""/>
    <n v="1052.8399999999999"/>
    <n v="817.34"/>
    <n v="-0.22368071121917854"/>
    <n v="1.2"/>
    <n v="1.2"/>
    <s v=""/>
    <n v="-386.50000000000017"/>
    <n v="0"/>
    <n v="1"/>
    <s v="Non conforme"/>
    <m/>
    <m/>
    <n v="0"/>
    <n v="0"/>
    <n v="0"/>
    <s v="Non"/>
    <s v="Oui"/>
    <s v="Non"/>
    <n v="1.0834999999999999"/>
    <n v="14.971603946740265"/>
    <x v="0"/>
    <s v="0"/>
    <x v="0"/>
    <n v="1"/>
    <n v="0"/>
    <m/>
    <n v="29526.05"/>
    <m/>
    <m/>
    <m/>
    <m/>
    <m/>
  </r>
  <r>
    <x v="145"/>
    <n v="260150049"/>
    <x v="0"/>
    <s v="buy"/>
    <n v="0.45"/>
    <n v="29292.39"/>
    <n v="29282.39"/>
    <n v="29392.39"/>
    <x v="145"/>
    <n v="29293.05"/>
    <n v="0"/>
    <n v="0"/>
    <n v="0.28000000000000003"/>
    <n v="146"/>
    <n v="-182.37999999999997"/>
    <n v="817.62"/>
    <x v="11"/>
    <x v="2"/>
    <d v="1900-01-02T00:00:00"/>
    <n v="16"/>
    <n v="1"/>
    <n v="9"/>
    <n v="10"/>
    <n v="100"/>
    <n v="10"/>
    <n v="0.1"/>
    <n v="817.34"/>
    <n v="817.62"/>
    <d v="2020-02-18T16:07:09"/>
    <n v="817.34"/>
    <n v="817.34"/>
    <d v="2020-02-18T18:02:17"/>
    <n v="831.72"/>
    <n v="0"/>
    <e v="#N/A"/>
    <n v="3.4257469351796403E-4"/>
    <n v="1.7593657474245718E-2"/>
    <n v="1052.8399999999999"/>
    <n v="817.62"/>
    <n v="-0.2234147638767523"/>
    <n v="0.7"/>
    <n v="0.7"/>
    <s v=""/>
    <n v="-385.80000000000018"/>
    <n v="0"/>
    <n v="1"/>
    <s v="Non conforme"/>
    <m/>
    <m/>
    <n v="0"/>
    <n v="0"/>
    <n v="0"/>
    <s v="Non"/>
    <s v="Non"/>
    <s v="Non"/>
    <n v="1.0815999999999999"/>
    <n v="14.910695091256484"/>
    <x v="0"/>
    <s v="0"/>
    <x v="0"/>
    <n v="1"/>
    <n v="0"/>
    <m/>
    <n v="29392.39"/>
    <m/>
    <m/>
    <m/>
    <m/>
    <m/>
  </r>
  <r>
    <x v="146"/>
    <n v="260153963"/>
    <x v="0"/>
    <s v="sell"/>
    <n v="0.45"/>
    <n v="29210.14"/>
    <n v="29208.639999999999"/>
    <n v="29145.14"/>
    <x v="146"/>
    <n v="29211.1"/>
    <n v="0"/>
    <n v="0"/>
    <n v="-0.4"/>
    <n v="147"/>
    <n v="-182.77999999999997"/>
    <n v="817.22"/>
    <x v="11"/>
    <x v="2"/>
    <d v="1900-01-02T00:00:00"/>
    <n v="16"/>
    <n v="0"/>
    <s v=""/>
    <n v="-1.5"/>
    <n v="65"/>
    <n v="6.5"/>
    <n v="0"/>
    <n v="817.62"/>
    <n v="817.22"/>
    <d v="2020-02-18T16:07:09"/>
    <n v="817.34"/>
    <n v="0"/>
    <d v="2020-02-18T18:02:17"/>
    <n v="831.72"/>
    <n v="0"/>
    <e v="#N/A"/>
    <n v="-4.8922482326750475E-4"/>
    <s v=""/>
    <n v="1052.8399999999999"/>
    <n v="817.22"/>
    <n v="-0.22379468865164687"/>
    <n v="-1"/>
    <s v=""/>
    <n v="-1"/>
    <n v="-386.80000000000018"/>
    <n v="0"/>
    <n v="1"/>
    <s v="Non conforme"/>
    <m/>
    <m/>
    <n v="0"/>
    <n v="0"/>
    <n v="0"/>
    <s v="Non"/>
    <s v="Oui"/>
    <s v="Non"/>
    <n v="1.0815999999999999"/>
    <n v="14.863735462749512"/>
    <x v="0"/>
    <s v="0"/>
    <x v="1"/>
    <n v="0"/>
    <n v="1"/>
    <m/>
    <n v="29145.14"/>
    <m/>
    <m/>
    <m/>
    <m/>
    <m/>
  </r>
  <r>
    <x v="147"/>
    <n v="260154630"/>
    <x v="0"/>
    <s v="sell"/>
    <n v="0.45"/>
    <n v="29216.14"/>
    <n v="29214.639999999999"/>
    <n v="29146.14"/>
    <x v="147"/>
    <n v="29216.13"/>
    <n v="0"/>
    <n v="0"/>
    <n v="0"/>
    <n v="148"/>
    <n v="-182.77999999999997"/>
    <n v="817.22"/>
    <x v="11"/>
    <x v="2"/>
    <d v="1900-01-02T00:00:00"/>
    <n v="16"/>
    <n v="0"/>
    <s v=""/>
    <n v="-1.5"/>
    <n v="70"/>
    <n v="7"/>
    <n v="0"/>
    <n v="817.22"/>
    <n v="817.22"/>
    <d v="2020-02-18T16:07:09"/>
    <n v="817.34"/>
    <n v="0"/>
    <d v="2020-02-18T18:02:17"/>
    <n v="831.72"/>
    <n v="0"/>
    <e v="#N/A"/>
    <n v="0"/>
    <s v=""/>
    <n v="1052.8399999999999"/>
    <n v="817.22"/>
    <n v="-0.22379468865164687"/>
    <n v="0"/>
    <s v=""/>
    <s v=""/>
    <n v="-386.80000000000018"/>
    <n v="0"/>
    <n v="1"/>
    <s v="Non conforme"/>
    <m/>
    <m/>
    <n v="0"/>
    <n v="0"/>
    <n v="0"/>
    <s v="Non"/>
    <s v="Oui"/>
    <s v="Non"/>
    <n v="1.0815999999999999"/>
    <n v="14.874065356731853"/>
    <x v="0"/>
    <s v="0"/>
    <x v="2"/>
    <n v="0"/>
    <n v="0"/>
    <m/>
    <n v="29146.14"/>
    <m/>
    <m/>
    <m/>
    <m/>
    <m/>
  </r>
  <r>
    <x v="148"/>
    <n v="260161039"/>
    <x v="0"/>
    <s v="buy"/>
    <n v="0.45"/>
    <n v="29145.47"/>
    <n v="29135.4"/>
    <m/>
    <x v="148"/>
    <n v="29135.18"/>
    <n v="0"/>
    <n v="0"/>
    <n v="-4.28"/>
    <n v="149"/>
    <n v="-187.05999999999997"/>
    <n v="812.94"/>
    <x v="11"/>
    <x v="2"/>
    <d v="1900-01-02T00:00:00"/>
    <n v="17"/>
    <n v="0"/>
    <s v=""/>
    <n v="10.1"/>
    <n v="200"/>
    <n v="19.8"/>
    <n v="-1"/>
    <n v="817.22"/>
    <n v="812.94"/>
    <d v="2020-02-18T16:07:09"/>
    <n v="817.34"/>
    <n v="0"/>
    <d v="2020-02-18T18:02:17"/>
    <n v="831.72"/>
    <n v="0"/>
    <e v="#N/A"/>
    <n v="-5.2372678103815035E-3"/>
    <s v=""/>
    <n v="1052.8399999999999"/>
    <n v="812.94"/>
    <n v="-0.2278598837430188"/>
    <n v="-10.3"/>
    <s v=""/>
    <n v="-10.3"/>
    <n v="-397.10000000000019"/>
    <n v="0"/>
    <n v="1"/>
    <s v="Non conforme"/>
    <m/>
    <m/>
    <n v="0"/>
    <n v="0"/>
    <n v="0"/>
    <s v="Non"/>
    <s v="Non"/>
    <s v="Non"/>
    <n v="1.0815999999999999"/>
    <n v="14.838086948949023"/>
    <x v="0"/>
    <s v="--"/>
    <x v="1"/>
    <n v="0"/>
    <n v="1"/>
    <m/>
    <s v=""/>
    <m/>
    <m/>
    <m/>
    <m/>
    <m/>
  </r>
  <r>
    <x v="149"/>
    <n v="260161059"/>
    <x v="0"/>
    <s v="buy"/>
    <n v="0.45"/>
    <n v="29135.45"/>
    <n v="29125.45"/>
    <m/>
    <x v="149"/>
    <n v="29125.31"/>
    <n v="0"/>
    <n v="0"/>
    <n v="-4.22"/>
    <n v="150"/>
    <n v="-191.27999999999997"/>
    <n v="808.72"/>
    <x v="11"/>
    <x v="2"/>
    <d v="1900-01-02T00:00:00"/>
    <n v="17"/>
    <n v="0"/>
    <s v=""/>
    <n v="10"/>
    <n v="200"/>
    <n v="20"/>
    <n v="-1"/>
    <n v="812.94"/>
    <n v="808.72"/>
    <d v="2020-02-18T16:07:09"/>
    <n v="817.34"/>
    <n v="0"/>
    <d v="2020-02-18T18:02:17"/>
    <n v="831.72"/>
    <n v="0"/>
    <e v="#N/A"/>
    <n v="-5.1910350087337647E-3"/>
    <s v=""/>
    <n v="1052.8399999999999"/>
    <n v="808.72"/>
    <n v="-0.23186809011815657"/>
    <n v="-10.1"/>
    <s v=""/>
    <n v="-10.1"/>
    <n v="-407.20000000000022"/>
    <n v="0"/>
    <n v="1"/>
    <s v="Non conforme"/>
    <m/>
    <m/>
    <n v="0"/>
    <n v="0"/>
    <n v="0"/>
    <s v="Non"/>
    <s v="Non"/>
    <s v="Non"/>
    <n v="1.0815999999999999"/>
    <n v="14.911079037143729"/>
    <x v="0"/>
    <s v="--"/>
    <x v="1"/>
    <n v="0"/>
    <n v="1"/>
    <m/>
    <s v=""/>
    <m/>
    <m/>
    <m/>
    <m/>
    <m/>
  </r>
  <r>
    <x v="150"/>
    <n v="260162323"/>
    <x v="0"/>
    <s v="sell"/>
    <n v="0.45"/>
    <n v="29132.2"/>
    <n v="29130.7"/>
    <n v="29057.200000000001"/>
    <x v="150"/>
    <n v="29131.56"/>
    <n v="0"/>
    <n v="0"/>
    <n v="0.27"/>
    <n v="151"/>
    <n v="-191.00999999999996"/>
    <n v="808.99"/>
    <x v="11"/>
    <x v="2"/>
    <d v="1900-01-02T00:00:00"/>
    <n v="17"/>
    <n v="0"/>
    <s v=""/>
    <n v="-1.5"/>
    <n v="75"/>
    <n v="7.5"/>
    <n v="0.1"/>
    <n v="808.72"/>
    <n v="808.99"/>
    <d v="2020-02-18T16:07:09"/>
    <n v="817.34"/>
    <n v="0"/>
    <d v="2020-02-18T18:02:17"/>
    <n v="831.72"/>
    <n v="0"/>
    <e v="#N/A"/>
    <n v="3.3386091601540931E-4"/>
    <s v=""/>
    <n v="1052.8399999999999"/>
    <n v="808.99"/>
    <n v="-0.23161164089510267"/>
    <n v="0.6"/>
    <n v="0.6"/>
    <s v=""/>
    <n v="-406.60000000000019"/>
    <n v="0"/>
    <n v="1"/>
    <s v="Non conforme"/>
    <m/>
    <m/>
    <n v="0"/>
    <n v="0"/>
    <n v="0"/>
    <s v="Non"/>
    <s v="Oui"/>
    <s v="Non"/>
    <n v="1.0815999999999999"/>
    <n v="14.987214893899104"/>
    <x v="0"/>
    <s v="0"/>
    <x v="0"/>
    <n v="1"/>
    <n v="0"/>
    <m/>
    <n v="29057.200000000001"/>
    <m/>
    <m/>
    <m/>
    <m/>
    <m/>
  </r>
  <r>
    <x v="151"/>
    <n v="260163564"/>
    <x v="0"/>
    <s v="buy"/>
    <n v="0.45"/>
    <n v="29133.42"/>
    <n v="29123.42"/>
    <n v="29163.42"/>
    <x v="151"/>
    <n v="29123.35"/>
    <n v="0"/>
    <n v="0"/>
    <n v="-4.1900000000000004"/>
    <n v="152"/>
    <n v="-195.19999999999996"/>
    <n v="804.80000000000007"/>
    <x v="11"/>
    <x v="2"/>
    <d v="1900-01-02T00:00:00"/>
    <n v="17"/>
    <n v="0"/>
    <s v=""/>
    <n v="10"/>
    <n v="30"/>
    <n v="3"/>
    <n v="-1"/>
    <n v="808.99000000000012"/>
    <n v="804.80000000000007"/>
    <d v="2020-02-18T16:07:09"/>
    <n v="817.34"/>
    <n v="0"/>
    <d v="2020-02-18T18:02:17"/>
    <n v="831.72"/>
    <n v="0"/>
    <e v="#N/A"/>
    <n v="-5.1792976427397792E-3"/>
    <s v=""/>
    <n v="1052.8399999999999"/>
    <n v="804.80000000000007"/>
    <n v="-0.2355913529121233"/>
    <n v="-10.1"/>
    <s v=""/>
    <n v="-10.1"/>
    <n v="-416.70000000000022"/>
    <n v="0"/>
    <n v="1"/>
    <s v="Non conforme"/>
    <m/>
    <m/>
    <n v="0"/>
    <n v="0"/>
    <n v="0"/>
    <s v="Non"/>
    <s v="Non"/>
    <s v="Non"/>
    <n v="1.0815999999999999"/>
    <n v="14.982840344571661"/>
    <x v="0"/>
    <s v="--"/>
    <x v="1"/>
    <n v="0"/>
    <n v="1"/>
    <m/>
    <n v="29163.42"/>
    <m/>
    <m/>
    <m/>
    <m/>
    <m/>
  </r>
  <r>
    <x v="152"/>
    <n v="260163941"/>
    <x v="0"/>
    <s v="sell"/>
    <n v="0.45"/>
    <n v="29123.279999999999"/>
    <n v="29133.279999999999"/>
    <n v="29058.28"/>
    <x v="152"/>
    <n v="29130.47"/>
    <n v="0"/>
    <n v="0"/>
    <n v="-3"/>
    <n v="153"/>
    <n v="-198.19999999999996"/>
    <n v="801.80000000000007"/>
    <x v="11"/>
    <x v="2"/>
    <d v="1900-01-02T00:00:00"/>
    <n v="18"/>
    <n v="0"/>
    <s v=""/>
    <n v="10"/>
    <n v="65"/>
    <n v="6.5"/>
    <n v="-0.7"/>
    <n v="804.80000000000007"/>
    <n v="801.80000000000007"/>
    <d v="2020-02-18T16:07:09"/>
    <n v="817.34"/>
    <n v="0"/>
    <d v="2020-02-18T18:02:17"/>
    <n v="831.72"/>
    <n v="0"/>
    <e v="#N/A"/>
    <n v="-3.7276341948310138E-3"/>
    <s v=""/>
    <n v="1052.8399999999999"/>
    <n v="801.80000000000007"/>
    <n v="-0.23844078872383256"/>
    <n v="-7.2"/>
    <s v=""/>
    <n v="-7.2"/>
    <n v="-423.9000000000002"/>
    <n v="0"/>
    <n v="1"/>
    <s v="Non conforme"/>
    <m/>
    <m/>
    <n v="0"/>
    <n v="0"/>
    <n v="0"/>
    <s v="Non"/>
    <s v="Non"/>
    <s v="Non"/>
    <n v="1.0815999999999999"/>
    <n v="15.055602957697602"/>
    <x v="0"/>
    <s v="--"/>
    <x v="1"/>
    <n v="0"/>
    <n v="1"/>
    <m/>
    <n v="29058.28"/>
    <m/>
    <m/>
    <m/>
    <m/>
    <m/>
  </r>
  <r>
    <x v="153"/>
    <n v="260164524"/>
    <x v="0"/>
    <s v="buy"/>
    <n v="0.45"/>
    <n v="29130.47"/>
    <n v="29120.47"/>
    <n v="29210.47"/>
    <x v="153"/>
    <n v="29202.29"/>
    <n v="0"/>
    <n v="0"/>
    <n v="29.92"/>
    <n v="154"/>
    <n v="-168.27999999999997"/>
    <n v="831.72"/>
    <x v="11"/>
    <x v="2"/>
    <d v="1900-01-02T00:00:00"/>
    <n v="19"/>
    <n v="0"/>
    <s v=""/>
    <n v="10"/>
    <n v="80"/>
    <n v="8"/>
    <n v="7.2"/>
    <n v="801.80000000000007"/>
    <n v="831.72"/>
    <d v="2020-02-18T16:07:09"/>
    <n v="817.34"/>
    <n v="0"/>
    <d v="2020-02-18T18:02:17"/>
    <n v="831.72"/>
    <n v="831.72"/>
    <n v="831.72"/>
    <n v="3.731603891244694E-2"/>
    <s v=""/>
    <n v="1052.8399999999999"/>
    <n v="831.72"/>
    <n v="-0.21002241556171874"/>
    <n v="71.8"/>
    <n v="71.8"/>
    <s v=""/>
    <n v="-352.10000000000019"/>
    <n v="1"/>
    <n v="0"/>
    <s v="Conforme"/>
    <s v="Rebond"/>
    <m/>
    <n v="1"/>
    <n v="1"/>
    <n v="1"/>
    <s v="Non"/>
    <s v="Non"/>
    <s v="Non"/>
    <n v="1.0815999999999999"/>
    <n v="15.115665579922986"/>
    <x v="1"/>
    <s v="++"/>
    <x v="0"/>
    <n v="1"/>
    <n v="0"/>
    <m/>
    <n v="29210.47"/>
    <m/>
    <m/>
    <m/>
    <m/>
    <m/>
  </r>
  <r>
    <x v="154"/>
    <m/>
    <x v="1"/>
    <m/>
    <m/>
    <m/>
    <m/>
    <m/>
    <x v="154"/>
    <m/>
    <m/>
    <m/>
    <m/>
    <s v=""/>
    <n v="-168.27999999999997"/>
    <n v="801.80000000000007"/>
    <x v="12"/>
    <x v="2"/>
    <d v="1900-01-03T00:00:00"/>
    <n v="23"/>
    <s v=""/>
    <s v=""/>
    <s v=""/>
    <s v=""/>
    <s v=""/>
    <s v=""/>
    <n v="801.80000000000007"/>
    <n v="831.72"/>
    <s v=""/>
    <n v="801.80000000000007"/>
    <n v="801.80000000000007"/>
    <s v=""/>
    <n v="831.72"/>
    <n v="831.72"/>
    <n v="831.72"/>
    <s v=""/>
    <s v=""/>
    <s v=""/>
    <s v=""/>
    <s v=""/>
    <s v=""/>
    <s v=""/>
    <s v=""/>
    <n v="-352.10000000000019"/>
    <s v=""/>
    <s v=""/>
    <m/>
    <m/>
    <m/>
    <m/>
    <m/>
    <m/>
    <s v="Sans objet"/>
    <s v="Sans objet"/>
    <s v="Sans objet"/>
    <n v="1.08"/>
    <s v=""/>
    <x v="2"/>
    <s v=""/>
    <x v="3"/>
    <s v=""/>
    <s v=""/>
    <m/>
    <s v=""/>
    <m/>
    <m/>
    <m/>
    <m/>
    <m/>
  </r>
  <r>
    <x v="155"/>
    <n v="260322204"/>
    <x v="0"/>
    <s v="buy"/>
    <n v="0.45"/>
    <n v="29274.45"/>
    <n v="29275.95"/>
    <n v="29329.45"/>
    <x v="155"/>
    <n v="29275.39"/>
    <n v="0"/>
    <n v="0"/>
    <n v="0.39"/>
    <n v="156"/>
    <n v="-167.89"/>
    <n v="832.11"/>
    <x v="13"/>
    <x v="2"/>
    <d v="1900-01-04T00:00:00"/>
    <n v="15"/>
    <n v="1"/>
    <n v="2"/>
    <n v="-1.5"/>
    <n v="55"/>
    <n v="5.5"/>
    <n v="0.1"/>
    <n v="831.72"/>
    <n v="832.11"/>
    <d v="2020-02-20T15:04:41"/>
    <n v="831.72"/>
    <n v="831.72"/>
    <d v="2020-02-20T18:10:14"/>
    <n v="855.32"/>
    <n v="0"/>
    <e v="#N/A"/>
    <n v="4.6890780551145378E-4"/>
    <n v="2.8374933871976173E-2"/>
    <n v="832.11"/>
    <n v="832.11"/>
    <n v="0"/>
    <n v="0.9"/>
    <n v="0.9"/>
    <s v=""/>
    <n v="-351.20000000000022"/>
    <n v="1"/>
    <n v="0"/>
    <s v="Conforme"/>
    <s v="Rebond"/>
    <s v="Double "/>
    <n v="1"/>
    <n v="1"/>
    <n v="0"/>
    <s v="Non"/>
    <s v="Oui"/>
    <s v="Non"/>
    <n v="1.079"/>
    <n v="14.679209496387601"/>
    <x v="3"/>
    <s v="0"/>
    <x v="0"/>
    <n v="1"/>
    <n v="0"/>
    <n v="29270.97"/>
    <n v="29329.45"/>
    <s v="Dommage le signal est donné juste avant l'ouverture. Je vais suivre le plan à la lettre mais je risque de me faire taper le SL ou le BE"/>
    <s v="Neutre"/>
    <s v="Haussière"/>
    <s v="Comme prévu BE tapé et TP théorique touché. Mais plan respecté."/>
    <s v="V4.1"/>
  </r>
  <r>
    <x v="156"/>
    <n v="260357541"/>
    <x v="0"/>
    <s v="buy"/>
    <n v="0.45"/>
    <n v="29032.66"/>
    <n v="29034.16"/>
    <n v="29132.66"/>
    <x v="156"/>
    <n v="29088.37"/>
    <n v="0"/>
    <n v="0"/>
    <n v="23.21"/>
    <n v="157"/>
    <n v="-144.67999999999998"/>
    <n v="855.32"/>
    <x v="13"/>
    <x v="2"/>
    <d v="1900-01-04T00:00:00"/>
    <n v="18"/>
    <n v="0"/>
    <s v=""/>
    <n v="-1.5"/>
    <n v="100"/>
    <n v="10"/>
    <n v="5.6"/>
    <n v="832.11"/>
    <n v="855.32"/>
    <d v="2020-02-20T15:04:41"/>
    <n v="831.72"/>
    <n v="0"/>
    <d v="2020-02-20T18:10:14"/>
    <n v="855.32"/>
    <n v="855.32"/>
    <n v="855.32"/>
    <n v="2.7892946845969928E-2"/>
    <s v=""/>
    <n v="855.32"/>
    <n v="832.11"/>
    <s v=""/>
    <n v="55.7"/>
    <n v="55.7"/>
    <s v=""/>
    <n v="-295.50000000000023"/>
    <n v="1"/>
    <n v="0"/>
    <s v="Conforme"/>
    <s v="Rebond"/>
    <s v="Double "/>
    <n v="0"/>
    <n v="1"/>
    <n v="0"/>
    <s v="Non"/>
    <s v="Oui"/>
    <s v="Non"/>
    <n v="1.079"/>
    <n v="14.551144583492311"/>
    <x v="4"/>
    <s v="+"/>
    <x v="0"/>
    <n v="1"/>
    <n v="0"/>
    <n v="29013.53"/>
    <n v="29132.66"/>
    <s v="Enorme chute, grosse meche sur la ZAP, je ne suis pas sûr que mon plan puisse résister à ce gros mouvement."/>
    <s v="Surprise"/>
    <s v="Haussière"/>
    <s v="J'ai préféré couper sur le haut d'un zig-zag. La chute était vraiment énorme (-400 pts en 30 minutes) et on était sur la zone sensible de 29000."/>
    <s v="V4.1"/>
  </r>
  <r>
    <x v="157"/>
    <n v="260390997"/>
    <x v="0"/>
    <s v="buy"/>
    <n v="0.45"/>
    <n v="29021.73"/>
    <n v="29011.73"/>
    <n v="29067.8"/>
    <x v="157"/>
    <n v="29022.75"/>
    <n v="0"/>
    <n v="0"/>
    <n v="0.43"/>
    <n v="158"/>
    <n v="-144.24999999999997"/>
    <n v="855.75"/>
    <x v="14"/>
    <x v="2"/>
    <d v="1900-01-05T00:00:00"/>
    <n v="8"/>
    <n v="1"/>
    <n v="1"/>
    <n v="10"/>
    <n v="46.1"/>
    <n v="4.5999999999999996"/>
    <n v="0.1"/>
    <n v="855.32"/>
    <n v="855.75"/>
    <d v="2020-02-21T08:34:36"/>
    <n v="855.32"/>
    <n v="855.32"/>
    <d v="2020-02-21T08:34:36"/>
    <n v="855.75"/>
    <n v="855.75"/>
    <n v="855.75"/>
    <n v="5.0273581817325671E-4"/>
    <n v="5.0273581817325671E-4"/>
    <n v="855.75"/>
    <n v="855.32"/>
    <s v=""/>
    <n v="1"/>
    <n v="1"/>
    <s v=""/>
    <n v="-294.50000000000023"/>
    <n v="1"/>
    <n v="0"/>
    <s v="Conforme"/>
    <s v="Rebond"/>
    <s v="Double "/>
    <n v="0"/>
    <n v="1"/>
    <n v="1"/>
    <s v="Non"/>
    <s v="Non"/>
    <s v="Non"/>
    <n v="1.079"/>
    <n v="14.150954650860555"/>
    <x v="3"/>
    <s v="0"/>
    <x v="0"/>
    <n v="1"/>
    <n v="0"/>
    <n v="29019.88"/>
    <n v="29067.8"/>
    <m/>
    <s v="Neutre"/>
    <s v="Haussière"/>
    <s v="Je venais de revoir mes ZIVIs et ZAPs, je me suis aperçu d'une erreur et j'ai cloturé dès que je m'en suis rendu compte."/>
    <s v="V4.1"/>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2.xml"/></Relationships>
</file>

<file path=xl/pivotTables/_rels/pivotTable2.xml.rels><?xml version="1.0" encoding="UTF-8" standalone="yes"?>
<Relationships xmlns="http://schemas.openxmlformats.org/package/2006/relationships"><Relationship Id="rId1" Type="http://schemas.openxmlformats.org/officeDocument/2006/relationships/pivotCacheDefinition" Target="../pivotCache/pivotCacheDefinition2.xml"/></Relationships>
</file>

<file path=xl/pivotTables/_rels/pivotTable3.xml.rels><?xml version="1.0" encoding="UTF-8" standalone="yes"?>
<Relationships xmlns="http://schemas.openxmlformats.org/package/2006/relationships"><Relationship Id="rId1" Type="http://schemas.openxmlformats.org/officeDocument/2006/relationships/pivotCacheDefinition" Target="../pivotCache/pivotCacheDefinition2.xml"/></Relationships>
</file>

<file path=xl/pivotTables/_rels/pivotTable4.xml.rels><?xml version="1.0" encoding="UTF-8" standalone="yes"?>
<Relationships xmlns="http://schemas.openxmlformats.org/package/2006/relationships"><Relationship Id="rId1" Type="http://schemas.openxmlformats.org/officeDocument/2006/relationships/pivotCacheDefinition" Target="../pivotCache/pivotCacheDefinition2.xml"/></Relationships>
</file>

<file path=xl/pivotTables/_rels/pivotTable5.xml.rels><?xml version="1.0" encoding="UTF-8" standalone="yes"?>
<Relationships xmlns="http://schemas.openxmlformats.org/package/2006/relationships"><Relationship Id="rId1" Type="http://schemas.openxmlformats.org/officeDocument/2006/relationships/pivotCacheDefinition" Target="../pivotCache/pivotCacheDefinition2.xml"/></Relationships>
</file>

<file path=xl/pivotTables/_rels/pivotTable6.xml.rels><?xml version="1.0" encoding="UTF-8" standalone="yes"?>
<Relationships xmlns="http://schemas.openxmlformats.org/package/2006/relationships"><Relationship Id="rId1" Type="http://schemas.openxmlformats.org/officeDocument/2006/relationships/pivotCacheDefinition" Target="../pivotCache/pivotCacheDefinition2.xml"/></Relationships>
</file>

<file path=xl/pivotTables/_rels/pivotTable7.xml.rels><?xml version="1.0" encoding="UTF-8" standalone="yes"?>
<Relationships xmlns="http://schemas.openxmlformats.org/package/2006/relationships"><Relationship Id="rId1" Type="http://schemas.openxmlformats.org/officeDocument/2006/relationships/pivotCacheDefinition" Target="../pivotCache/pivotCacheDefinition2.xml"/></Relationships>
</file>

<file path=xl/pivotTables/_rels/pivotTable8.xml.rels><?xml version="1.0" encoding="UTF-8" standalone="yes"?>
<Relationships xmlns="http://schemas.openxmlformats.org/package/2006/relationships"><Relationship Id="rId1" Type="http://schemas.openxmlformats.org/officeDocument/2006/relationships/pivotCacheDefinition" Target="../pivotCache/pivotCacheDefinition2.xml"/></Relationships>
</file>

<file path=xl/pivotTables/_rels/pivotTable9.xml.rels><?xml version="1.0" encoding="UTF-8" standalone="yes"?>
<Relationships xmlns="http://schemas.openxmlformats.org/package/2006/relationships"><Relationship Id="rId1" Type="http://schemas.openxmlformats.org/officeDocument/2006/relationships/pivotCacheDefinition" Target="../pivotCache/pivotCacheDefinition2.xml"/></Relationships>
</file>

<file path=xl/pivotTables/_rels/pivotTable10.xml.rels><?xml version="1.0" encoding="UTF-8" standalone="yes"?>
<Relationships xmlns="http://schemas.openxmlformats.org/package/2006/relationships"><Relationship Id="rId1" Type="http://schemas.openxmlformats.org/officeDocument/2006/relationships/pivotCacheDefinition" Target="../pivotCache/pivotCacheDefinition2.xml"/></Relationships>
</file>

<file path=xl/pivotTables/_rels/pivotTable11.xml.rels><?xml version="1.0" encoding="UTF-8" standalone="yes"?>
<Relationships xmlns="http://schemas.openxmlformats.org/package/2006/relationships"><Relationship Id="rId1" Type="http://schemas.openxmlformats.org/officeDocument/2006/relationships/pivotCacheDefinition" Target="../pivotCache/pivotCacheDefinition2.xml"/></Relationships>
</file>

<file path=xl/pivotTables/_rels/pivotTable12.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CC457C4A-ECB6-41C3-98C6-706DB5BFFD1D}" name="Tableau croisé dynamique1" cacheId="10" applyNumberFormats="0" applyBorderFormats="0" applyFontFormats="0" applyPatternFormats="0" applyAlignmentFormats="0" applyWidthHeightFormats="1" dataCaption="Valeurs" updatedVersion="6" minRefreshableVersion="3" useAutoFormatting="1" itemPrintTitles="1" createdVersion="6" indent="0" outline="1" outlineData="1" multipleFieldFilters="0">
  <location ref="A3:B162" firstHeaderRow="1" firstDataRow="1" firstDataCol="1"/>
  <pivotFields count="80">
    <pivotField numFmtId="22" showAll="0"/>
    <pivotField numFmtId="164" showAll="0"/>
    <pivotField showAll="0">
      <items count="6">
        <item m="1" x="2"/>
        <item m="1" x="3"/>
        <item m="1" x="4"/>
        <item x="0"/>
        <item x="1"/>
        <item t="default"/>
      </items>
    </pivotField>
    <pivotField showAll="0"/>
    <pivotField showAll="0"/>
    <pivotField numFmtId="165" showAll="0"/>
    <pivotField numFmtId="165" showAll="0"/>
    <pivotField showAll="0"/>
    <pivotField axis="axisRow" numFmtId="180" showAll="0" sortType="ascending">
      <items count="160">
        <item x="0"/>
        <item x="1"/>
        <item x="2"/>
        <item x="3"/>
        <item x="4"/>
        <item x="5"/>
        <item x="6"/>
        <item x="7"/>
        <item x="8"/>
        <item x="9"/>
        <item x="10"/>
        <item x="11"/>
        <item x="12"/>
        <item x="13"/>
        <item x="14"/>
        <item x="15"/>
        <item x="16"/>
        <item x="17"/>
        <item x="18"/>
        <item x="19"/>
        <item x="20"/>
        <item x="21"/>
        <item x="22"/>
        <item x="23"/>
        <item x="24"/>
        <item x="25"/>
        <item x="26"/>
        <item x="27"/>
        <item x="28"/>
        <item x="29"/>
        <item x="30"/>
        <item x="31"/>
        <item x="32"/>
        <item x="33"/>
        <item x="34"/>
        <item x="35"/>
        <item x="36"/>
        <item x="37"/>
        <item x="38"/>
        <item x="39"/>
        <item x="40"/>
        <item x="41"/>
        <item x="42"/>
        <item x="43"/>
        <item x="44"/>
        <item x="45"/>
        <item x="46"/>
        <item x="47"/>
        <item x="48"/>
        <item x="49"/>
        <item x="50"/>
        <item x="51"/>
        <item x="52"/>
        <item x="53"/>
        <item x="54"/>
        <item x="55"/>
        <item x="56"/>
        <item x="57"/>
        <item x="58"/>
        <item x="59"/>
        <item x="60"/>
        <item x="61"/>
        <item x="62"/>
        <item x="63"/>
        <item x="64"/>
        <item x="65"/>
        <item x="66"/>
        <item x="67"/>
        <item x="68"/>
        <item x="69"/>
        <item x="70"/>
        <item x="71"/>
        <item x="72"/>
        <item x="73"/>
        <item x="74"/>
        <item x="75"/>
        <item x="76"/>
        <item x="77"/>
        <item x="78"/>
        <item x="79"/>
        <item x="80"/>
        <item x="81"/>
        <item x="82"/>
        <item x="83"/>
        <item x="84"/>
        <item x="85"/>
        <item x="86"/>
        <item x="87"/>
        <item x="88"/>
        <item x="89"/>
        <item x="90"/>
        <item x="91"/>
        <item x="92"/>
        <item x="93"/>
        <item x="94"/>
        <item x="95"/>
        <item x="96"/>
        <item x="97"/>
        <item x="98"/>
        <item x="99"/>
        <item x="100"/>
        <item x="101"/>
        <item x="102"/>
        <item x="103"/>
        <item x="104"/>
        <item x="105"/>
        <item x="106"/>
        <item x="107"/>
        <item x="108"/>
        <item x="109"/>
        <item x="110"/>
        <item x="111"/>
        <item x="112"/>
        <item x="113"/>
        <item x="114"/>
        <item x="115"/>
        <item x="116"/>
        <item x="117"/>
        <item x="118"/>
        <item x="119"/>
        <item x="120"/>
        <item x="121"/>
        <item x="122"/>
        <item x="123"/>
        <item x="124"/>
        <item x="125"/>
        <item x="126"/>
        <item x="127"/>
        <item x="128"/>
        <item x="129"/>
        <item x="130"/>
        <item x="131"/>
        <item x="132"/>
        <item x="133"/>
        <item x="134"/>
        <item x="135"/>
        <item x="136"/>
        <item x="137"/>
        <item x="138"/>
        <item x="139"/>
        <item x="140"/>
        <item x="141"/>
        <item x="142"/>
        <item x="143"/>
        <item x="144"/>
        <item x="145"/>
        <item x="146"/>
        <item x="147"/>
        <item x="148"/>
        <item x="149"/>
        <item x="150"/>
        <item x="151"/>
        <item x="152"/>
        <item x="153"/>
        <item m="1" x="158"/>
        <item x="154"/>
        <item x="155"/>
        <item x="156"/>
        <item x="157"/>
        <item t="default"/>
      </items>
    </pivotField>
    <pivotField numFmtId="165" showAll="0"/>
    <pivotField numFmtId="165" showAll="0"/>
    <pivotField numFmtId="165" showAll="0"/>
    <pivotField numFmtId="166" showAll="0"/>
    <pivotField showAll="0"/>
    <pivotField numFmtId="166" showAll="0"/>
    <pivotField numFmtId="166" showAll="0"/>
    <pivotField numFmtId="14" showAll="0"/>
    <pivotField showAll="0"/>
    <pivotField numFmtId="174" showAll="0"/>
    <pivotField numFmtId="175" showAll="0"/>
    <pivotField showAll="0"/>
    <pivotField showAll="0"/>
    <pivotField numFmtId="167" showAll="0"/>
    <pivotField numFmtId="167" showAll="0"/>
    <pivotField showAll="0"/>
    <pivotField showAll="0"/>
    <pivotField numFmtId="166" showAll="0"/>
    <pivotField numFmtId="166" showAll="0"/>
    <pivotField numFmtId="22" showAll="0"/>
    <pivotField numFmtId="166" showAll="0"/>
    <pivotField numFmtId="166" showAll="0"/>
    <pivotField numFmtId="22" showAll="0"/>
    <pivotField numFmtId="43" showAll="0"/>
    <pivotField numFmtId="43" showAll="0"/>
    <pivotField showAll="0"/>
    <pivotField numFmtId="10" showAll="0"/>
    <pivotField showAll="0"/>
    <pivotField numFmtId="166" showAll="0"/>
    <pivotField numFmtId="166" showAll="0"/>
    <pivotField dataField="1" numFmtId="10" showAll="0"/>
    <pivotField numFmtId="167" showAll="0"/>
    <pivotField showAll="0"/>
    <pivotField showAll="0"/>
    <pivotField numFmtId="167" showAll="0"/>
    <pivotField showAll="0"/>
    <pivotField showAll="0"/>
    <pivotField showAll="0"/>
    <pivotField showAll="0"/>
    <pivotField showAll="0"/>
    <pivotField showAll="0"/>
    <pivotField showAll="0"/>
    <pivotField showAll="0"/>
    <pivotField showAll="0"/>
    <pivotField showAll="0"/>
    <pivotField showAll="0"/>
    <pivotField numFmtId="178" showAll="0"/>
    <pivotField numFmtId="168" showAll="0"/>
    <pivotField showAll="0"/>
    <pivotField showAll="0"/>
    <pivotField showAll="0"/>
    <pivotField showAll="0"/>
    <pivotField showAll="0"/>
    <pivotField showAll="0"/>
    <pivotField showAll="0"/>
    <pivotField showAll="0"/>
    <pivotField showAll="0"/>
    <pivotField showAll="0"/>
    <pivotField showAll="0"/>
    <pivotField showAll="0"/>
    <pivotField dragToRow="0" dragToCol="0" dragToPage="0" showAll="0" defaultSubtotal="0"/>
    <pivotField dragToRow="0" dragToCol="0" dragToPage="0" showAll="0" defaultSubtotal="0"/>
    <pivotField showAll="0" defaultSubtotal="0">
      <items count="4">
        <item x="0"/>
        <item x="1"/>
        <item x="2"/>
        <item x="3"/>
      </items>
    </pivotField>
    <pivotField showAll="0" defaultSubtotal="0"/>
    <pivotField showAll="0" defaultSubtotal="0"/>
    <pivotField showAll="0" defaultSubtotal="0"/>
    <pivotField dragToRow="0" dragToCol="0" dragToPage="0" showAll="0" defaultSubtotal="0"/>
    <pivotField dragToRow="0" dragToCol="0" dragToPage="0" showAll="0" defaultSubtotal="0"/>
    <pivotField dragToRow="0" dragToCol="0" dragToPage="0" showAll="0" defaultSubtotal="0"/>
    <pivotField dragToRow="0" dragToCol="0" dragToPage="0" showAll="0" defaultSubtotal="0"/>
    <pivotField dragToRow="0" dragToCol="0" dragToPage="0" showAll="0" defaultSubtotal="0"/>
  </pivotFields>
  <rowFields count="1">
    <field x="8"/>
  </rowFields>
  <rowItems count="159">
    <i>
      <x/>
    </i>
    <i>
      <x v="1"/>
    </i>
    <i>
      <x v="2"/>
    </i>
    <i>
      <x v="3"/>
    </i>
    <i>
      <x v="4"/>
    </i>
    <i>
      <x v="5"/>
    </i>
    <i>
      <x v="6"/>
    </i>
    <i>
      <x v="7"/>
    </i>
    <i>
      <x v="8"/>
    </i>
    <i>
      <x v="9"/>
    </i>
    <i>
      <x v="10"/>
    </i>
    <i>
      <x v="11"/>
    </i>
    <i>
      <x v="12"/>
    </i>
    <i>
      <x v="13"/>
    </i>
    <i>
      <x v="14"/>
    </i>
    <i>
      <x v="15"/>
    </i>
    <i>
      <x v="16"/>
    </i>
    <i>
      <x v="17"/>
    </i>
    <i>
      <x v="18"/>
    </i>
    <i>
      <x v="19"/>
    </i>
    <i>
      <x v="20"/>
    </i>
    <i>
      <x v="21"/>
    </i>
    <i>
      <x v="22"/>
    </i>
    <i>
      <x v="23"/>
    </i>
    <i>
      <x v="24"/>
    </i>
    <i>
      <x v="25"/>
    </i>
    <i>
      <x v="26"/>
    </i>
    <i>
      <x v="27"/>
    </i>
    <i>
      <x v="28"/>
    </i>
    <i>
      <x v="29"/>
    </i>
    <i>
      <x v="30"/>
    </i>
    <i>
      <x v="31"/>
    </i>
    <i>
      <x v="32"/>
    </i>
    <i>
      <x v="33"/>
    </i>
    <i>
      <x v="34"/>
    </i>
    <i>
      <x v="35"/>
    </i>
    <i>
      <x v="36"/>
    </i>
    <i>
      <x v="37"/>
    </i>
    <i>
      <x v="38"/>
    </i>
    <i>
      <x v="39"/>
    </i>
    <i>
      <x v="40"/>
    </i>
    <i>
      <x v="41"/>
    </i>
    <i>
      <x v="42"/>
    </i>
    <i>
      <x v="43"/>
    </i>
    <i>
      <x v="44"/>
    </i>
    <i>
      <x v="45"/>
    </i>
    <i>
      <x v="46"/>
    </i>
    <i>
      <x v="47"/>
    </i>
    <i>
      <x v="48"/>
    </i>
    <i>
      <x v="49"/>
    </i>
    <i>
      <x v="50"/>
    </i>
    <i>
      <x v="51"/>
    </i>
    <i>
      <x v="52"/>
    </i>
    <i>
      <x v="53"/>
    </i>
    <i>
      <x v="54"/>
    </i>
    <i>
      <x v="55"/>
    </i>
    <i>
      <x v="56"/>
    </i>
    <i>
      <x v="57"/>
    </i>
    <i>
      <x v="58"/>
    </i>
    <i>
      <x v="59"/>
    </i>
    <i>
      <x v="60"/>
    </i>
    <i>
      <x v="61"/>
    </i>
    <i>
      <x v="62"/>
    </i>
    <i>
      <x v="63"/>
    </i>
    <i>
      <x v="64"/>
    </i>
    <i>
      <x v="65"/>
    </i>
    <i>
      <x v="66"/>
    </i>
    <i>
      <x v="67"/>
    </i>
    <i>
      <x v="68"/>
    </i>
    <i>
      <x v="69"/>
    </i>
    <i>
      <x v="70"/>
    </i>
    <i>
      <x v="71"/>
    </i>
    <i>
      <x v="72"/>
    </i>
    <i>
      <x v="73"/>
    </i>
    <i>
      <x v="74"/>
    </i>
    <i>
      <x v="75"/>
    </i>
    <i>
      <x v="76"/>
    </i>
    <i>
      <x v="77"/>
    </i>
    <i>
      <x v="78"/>
    </i>
    <i>
      <x v="79"/>
    </i>
    <i>
      <x v="80"/>
    </i>
    <i>
      <x v="81"/>
    </i>
    <i>
      <x v="82"/>
    </i>
    <i>
      <x v="83"/>
    </i>
    <i>
      <x v="84"/>
    </i>
    <i>
      <x v="85"/>
    </i>
    <i>
      <x v="86"/>
    </i>
    <i>
      <x v="87"/>
    </i>
    <i>
      <x v="88"/>
    </i>
    <i>
      <x v="89"/>
    </i>
    <i>
      <x v="90"/>
    </i>
    <i>
      <x v="91"/>
    </i>
    <i>
      <x v="92"/>
    </i>
    <i>
      <x v="93"/>
    </i>
    <i>
      <x v="94"/>
    </i>
    <i>
      <x v="95"/>
    </i>
    <i>
      <x v="96"/>
    </i>
    <i>
      <x v="97"/>
    </i>
    <i>
      <x v="98"/>
    </i>
    <i>
      <x v="99"/>
    </i>
    <i>
      <x v="100"/>
    </i>
    <i>
      <x v="101"/>
    </i>
    <i>
      <x v="102"/>
    </i>
    <i>
      <x v="103"/>
    </i>
    <i>
      <x v="104"/>
    </i>
    <i>
      <x v="105"/>
    </i>
    <i>
      <x v="106"/>
    </i>
    <i>
      <x v="107"/>
    </i>
    <i>
      <x v="108"/>
    </i>
    <i>
      <x v="109"/>
    </i>
    <i>
      <x v="110"/>
    </i>
    <i>
      <x v="111"/>
    </i>
    <i>
      <x v="112"/>
    </i>
    <i>
      <x v="113"/>
    </i>
    <i>
      <x v="114"/>
    </i>
    <i>
      <x v="115"/>
    </i>
    <i>
      <x v="116"/>
    </i>
    <i>
      <x v="117"/>
    </i>
    <i>
      <x v="118"/>
    </i>
    <i>
      <x v="119"/>
    </i>
    <i>
      <x v="120"/>
    </i>
    <i>
      <x v="121"/>
    </i>
    <i>
      <x v="122"/>
    </i>
    <i>
      <x v="123"/>
    </i>
    <i>
      <x v="124"/>
    </i>
    <i>
      <x v="125"/>
    </i>
    <i>
      <x v="126"/>
    </i>
    <i>
      <x v="127"/>
    </i>
    <i>
      <x v="128"/>
    </i>
    <i>
      <x v="129"/>
    </i>
    <i>
      <x v="130"/>
    </i>
    <i>
      <x v="131"/>
    </i>
    <i>
      <x v="132"/>
    </i>
    <i>
      <x v="133"/>
    </i>
    <i>
      <x v="134"/>
    </i>
    <i>
      <x v="135"/>
    </i>
    <i>
      <x v="136"/>
    </i>
    <i>
      <x v="137"/>
    </i>
    <i>
      <x v="138"/>
    </i>
    <i>
      <x v="139"/>
    </i>
    <i>
      <x v="140"/>
    </i>
    <i>
      <x v="141"/>
    </i>
    <i>
      <x v="142"/>
    </i>
    <i>
      <x v="143"/>
    </i>
    <i>
      <x v="144"/>
    </i>
    <i>
      <x v="145"/>
    </i>
    <i>
      <x v="146"/>
    </i>
    <i>
      <x v="147"/>
    </i>
    <i>
      <x v="148"/>
    </i>
    <i>
      <x v="149"/>
    </i>
    <i>
      <x v="150"/>
    </i>
    <i>
      <x v="151"/>
    </i>
    <i>
      <x v="152"/>
    </i>
    <i>
      <x v="153"/>
    </i>
    <i>
      <x v="155"/>
    </i>
    <i>
      <x v="156"/>
    </i>
    <i>
      <x v="157"/>
    </i>
    <i>
      <x v="158"/>
    </i>
    <i t="grand">
      <x/>
    </i>
  </rowItems>
  <colItems count="1">
    <i/>
  </colItems>
  <dataFields count="1">
    <dataField name="Min. de Drawdown" fld="39" subtotal="min" baseField="8" baseItem="0" numFmtId="179"/>
  </dataField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2.xml><?xml version="1.0" encoding="utf-8"?>
<pivotTableDefinition xmlns="http://schemas.openxmlformats.org/spreadsheetml/2006/main" xmlns:mc="http://schemas.openxmlformats.org/markup-compatibility/2006" xmlns:xr="http://schemas.microsoft.com/office/spreadsheetml/2014/revision" mc:Ignorable="xr" xr:uid="{3335D131-F63F-4AE5-A8D2-3748A3CC4AEE}" name="Tableau croisé dynamique1" cacheId="10" applyNumberFormats="0" applyBorderFormats="0" applyFontFormats="0" applyPatternFormats="0" applyAlignmentFormats="0" applyWidthHeightFormats="1" dataCaption="Valeurs" updatedVersion="6" minRefreshableVersion="3" useAutoFormatting="1" rowGrandTotals="0" colGrandTotals="0" itemPrintTitles="1" createdVersion="6" indent="0" outline="1" outlineData="1" multipleFieldFilters="0" chartFormat="18">
  <location ref="A7:C22" firstHeaderRow="0" firstDataRow="1" firstDataCol="1" rowPageCount="5" colPageCount="1"/>
  <pivotFields count="80">
    <pivotField numFmtId="22" showAll="0">
      <items count="369">
        <item x="1"/>
        <item x="2"/>
        <item x="3"/>
        <item x="4"/>
        <item x="5"/>
        <item x="6"/>
        <item x="7"/>
        <item x="8"/>
        <item x="9"/>
        <item x="10"/>
        <item x="11"/>
        <item x="12"/>
        <item x="13"/>
        <item x="14"/>
        <item x="15"/>
        <item x="16"/>
        <item x="17"/>
        <item x="18"/>
        <item x="19"/>
        <item x="20"/>
        <item x="21"/>
        <item x="22"/>
        <item x="23"/>
        <item x="24"/>
        <item x="25"/>
        <item x="26"/>
        <item x="27"/>
        <item x="28"/>
        <item x="29"/>
        <item x="30"/>
        <item x="31"/>
        <item x="32"/>
        <item x="33"/>
        <item x="34"/>
        <item x="35"/>
        <item x="36"/>
        <item x="37"/>
        <item x="38"/>
        <item x="39"/>
        <item x="40"/>
        <item x="41"/>
        <item x="42"/>
        <item x="43"/>
        <item x="44"/>
        <item x="45"/>
        <item x="46"/>
        <item x="47"/>
        <item x="48"/>
        <item x="49"/>
        <item x="50"/>
        <item x="51"/>
        <item x="52"/>
        <item x="53"/>
        <item x="54"/>
        <item x="55"/>
        <item x="56"/>
        <item x="57"/>
        <item x="58"/>
        <item x="59"/>
        <item x="60"/>
        <item x="61"/>
        <item x="62"/>
        <item x="63"/>
        <item x="64"/>
        <item x="65"/>
        <item x="66"/>
        <item x="67"/>
        <item x="68"/>
        <item x="69"/>
        <item x="70"/>
        <item x="71"/>
        <item x="72"/>
        <item x="73"/>
        <item x="74"/>
        <item x="75"/>
        <item x="76"/>
        <item x="77"/>
        <item x="78"/>
        <item x="79"/>
        <item x="80"/>
        <item x="81"/>
        <item x="82"/>
        <item x="83"/>
        <item x="84"/>
        <item x="85"/>
        <item x="86"/>
        <item x="87"/>
        <item x="88"/>
        <item x="89"/>
        <item x="90"/>
        <item x="91"/>
        <item x="92"/>
        <item x="93"/>
        <item x="94"/>
        <item x="95"/>
        <item x="96"/>
        <item x="97"/>
        <item x="98"/>
        <item x="99"/>
        <item x="100"/>
        <item x="101"/>
        <item x="102"/>
        <item x="103"/>
        <item x="104"/>
        <item x="105"/>
        <item x="106"/>
        <item x="107"/>
        <item x="108"/>
        <item x="109"/>
        <item x="110"/>
        <item x="111"/>
        <item x="112"/>
        <item x="113"/>
        <item x="114"/>
        <item x="115"/>
        <item x="116"/>
        <item x="117"/>
        <item x="118"/>
        <item x="119"/>
        <item x="120"/>
        <item x="121"/>
        <item x="122"/>
        <item x="123"/>
        <item x="124"/>
        <item x="125"/>
        <item x="126"/>
        <item x="127"/>
        <item x="128"/>
        <item x="129"/>
        <item x="130"/>
        <item x="131"/>
        <item x="132"/>
        <item x="133"/>
        <item x="134"/>
        <item x="135"/>
        <item x="136"/>
        <item x="137"/>
        <item x="138"/>
        <item x="139"/>
        <item x="140"/>
        <item x="141"/>
        <item x="142"/>
        <item x="143"/>
        <item x="144"/>
        <item x="145"/>
        <item x="146"/>
        <item x="147"/>
        <item x="148"/>
        <item x="149"/>
        <item x="150"/>
        <item x="151"/>
        <item x="152"/>
        <item x="153"/>
        <item x="154"/>
        <item x="155"/>
        <item x="156"/>
        <item x="157"/>
        <item x="158"/>
        <item x="159"/>
        <item x="160"/>
        <item x="161"/>
        <item x="162"/>
        <item x="163"/>
        <item x="164"/>
        <item x="165"/>
        <item x="166"/>
        <item x="167"/>
        <item x="168"/>
        <item x="169"/>
        <item x="170"/>
        <item x="171"/>
        <item x="172"/>
        <item x="173"/>
        <item x="174"/>
        <item x="175"/>
        <item x="176"/>
        <item x="177"/>
        <item x="178"/>
        <item x="179"/>
        <item x="180"/>
        <item x="181"/>
        <item x="182"/>
        <item x="183"/>
        <item x="184"/>
        <item x="185"/>
        <item x="186"/>
        <item x="187"/>
        <item x="188"/>
        <item x="189"/>
        <item x="190"/>
        <item x="191"/>
        <item x="192"/>
        <item x="193"/>
        <item x="194"/>
        <item x="195"/>
        <item x="196"/>
        <item x="197"/>
        <item x="198"/>
        <item x="199"/>
        <item x="200"/>
        <item x="201"/>
        <item x="202"/>
        <item x="203"/>
        <item x="204"/>
        <item x="205"/>
        <item x="206"/>
        <item x="207"/>
        <item x="208"/>
        <item x="209"/>
        <item x="210"/>
        <item x="211"/>
        <item x="212"/>
        <item x="213"/>
        <item x="214"/>
        <item x="215"/>
        <item x="216"/>
        <item x="217"/>
        <item x="218"/>
        <item x="219"/>
        <item x="220"/>
        <item x="221"/>
        <item x="222"/>
        <item x="223"/>
        <item x="224"/>
        <item x="225"/>
        <item x="226"/>
        <item x="227"/>
        <item x="228"/>
        <item x="229"/>
        <item x="230"/>
        <item x="231"/>
        <item x="232"/>
        <item x="233"/>
        <item x="234"/>
        <item x="235"/>
        <item x="236"/>
        <item x="237"/>
        <item x="238"/>
        <item x="239"/>
        <item x="240"/>
        <item x="241"/>
        <item x="242"/>
        <item x="243"/>
        <item x="244"/>
        <item x="245"/>
        <item x="246"/>
        <item x="247"/>
        <item x="248"/>
        <item x="249"/>
        <item x="250"/>
        <item x="251"/>
        <item x="252"/>
        <item x="253"/>
        <item x="254"/>
        <item x="255"/>
        <item x="256"/>
        <item x="257"/>
        <item x="258"/>
        <item x="259"/>
        <item x="260"/>
        <item x="261"/>
        <item x="262"/>
        <item x="263"/>
        <item x="264"/>
        <item x="265"/>
        <item x="266"/>
        <item x="267"/>
        <item x="268"/>
        <item x="269"/>
        <item x="270"/>
        <item x="271"/>
        <item x="272"/>
        <item x="273"/>
        <item x="274"/>
        <item x="275"/>
        <item x="276"/>
        <item x="277"/>
        <item x="278"/>
        <item x="279"/>
        <item x="280"/>
        <item x="281"/>
        <item x="282"/>
        <item x="283"/>
        <item x="284"/>
        <item x="285"/>
        <item x="286"/>
        <item x="287"/>
        <item x="288"/>
        <item x="289"/>
        <item x="290"/>
        <item x="291"/>
        <item x="292"/>
        <item x="293"/>
        <item x="294"/>
        <item x="295"/>
        <item x="296"/>
        <item x="297"/>
        <item x="298"/>
        <item x="299"/>
        <item x="300"/>
        <item x="301"/>
        <item x="302"/>
        <item x="303"/>
        <item x="304"/>
        <item x="305"/>
        <item x="306"/>
        <item x="307"/>
        <item x="308"/>
        <item x="309"/>
        <item x="310"/>
        <item x="311"/>
        <item x="312"/>
        <item x="313"/>
        <item x="314"/>
        <item x="315"/>
        <item x="316"/>
        <item x="317"/>
        <item x="318"/>
        <item x="319"/>
        <item x="320"/>
        <item x="321"/>
        <item x="322"/>
        <item x="323"/>
        <item x="324"/>
        <item x="325"/>
        <item x="326"/>
        <item x="327"/>
        <item x="328"/>
        <item x="329"/>
        <item x="330"/>
        <item x="331"/>
        <item x="332"/>
        <item x="333"/>
        <item x="334"/>
        <item x="335"/>
        <item x="336"/>
        <item x="337"/>
        <item x="338"/>
        <item x="339"/>
        <item x="340"/>
        <item x="341"/>
        <item x="342"/>
        <item x="343"/>
        <item x="344"/>
        <item x="345"/>
        <item x="346"/>
        <item x="347"/>
        <item x="348"/>
        <item x="349"/>
        <item x="350"/>
        <item x="351"/>
        <item x="352"/>
        <item x="353"/>
        <item x="354"/>
        <item x="355"/>
        <item x="356"/>
        <item x="357"/>
        <item x="358"/>
        <item x="359"/>
        <item x="360"/>
        <item x="361"/>
        <item x="362"/>
        <item x="363"/>
        <item x="364"/>
        <item x="365"/>
        <item x="366"/>
        <item x="0"/>
        <item x="367"/>
        <item t="default"/>
      </items>
    </pivotField>
    <pivotField numFmtId="164" showAll="0"/>
    <pivotField axis="axisPage" showAll="0">
      <items count="6">
        <item m="1" x="2"/>
        <item x="0"/>
        <item m="1" x="4"/>
        <item m="1" x="3"/>
        <item x="1"/>
        <item t="default"/>
      </items>
    </pivotField>
    <pivotField showAll="0"/>
    <pivotField showAll="0"/>
    <pivotField numFmtId="165" showAll="0"/>
    <pivotField numFmtId="165" showAll="0"/>
    <pivotField numFmtId="165" showAll="0"/>
    <pivotField numFmtId="22" showAll="0"/>
    <pivotField numFmtId="165" showAll="0"/>
    <pivotField numFmtId="165" showAll="0"/>
    <pivotField numFmtId="165" showAll="0"/>
    <pivotField numFmtId="166" showAll="0" varSubtotal="1"/>
    <pivotField showAll="0"/>
    <pivotField numFmtId="166" showAll="0"/>
    <pivotField numFmtId="166" showAll="0"/>
    <pivotField axis="axisRow" numFmtId="14" showAll="0" sortType="ascending">
      <items count="16">
        <item x="0"/>
        <item x="1"/>
        <item x="2"/>
        <item x="3"/>
        <item x="4"/>
        <item x="5"/>
        <item x="6"/>
        <item x="7"/>
        <item x="8"/>
        <item x="9"/>
        <item x="10"/>
        <item x="11"/>
        <item x="12"/>
        <item x="13"/>
        <item x="14"/>
        <item t="default"/>
      </items>
    </pivotField>
    <pivotField axis="axisPage" showAll="0">
      <items count="12">
        <item m="1" x="9"/>
        <item m="1" x="4"/>
        <item m="1" x="10"/>
        <item m="1" x="5"/>
        <item m="1" x="8"/>
        <item m="1" x="7"/>
        <item m="1" x="3"/>
        <item m="1" x="6"/>
        <item x="0"/>
        <item x="2"/>
        <item x="1"/>
        <item t="default"/>
      </items>
    </pivotField>
    <pivotField numFmtId="174" showAll="0"/>
    <pivotField numFmtId="175" showAll="0"/>
    <pivotField showAll="0"/>
    <pivotField showAll="0"/>
    <pivotField numFmtId="167" showAll="0"/>
    <pivotField numFmtId="167" showAll="0"/>
    <pivotField showAll="0"/>
    <pivotField showAll="0"/>
    <pivotField numFmtId="166" showAll="0"/>
    <pivotField numFmtId="166" showAll="0"/>
    <pivotField numFmtId="22" showAll="0"/>
    <pivotField numFmtId="166" showAll="0"/>
    <pivotField numFmtId="166" showAll="0"/>
    <pivotField numFmtId="22" showAll="0"/>
    <pivotField numFmtId="43" showAll="0"/>
    <pivotField numFmtId="43" showAll="0"/>
    <pivotField showAll="0"/>
    <pivotField numFmtId="10" showAll="0"/>
    <pivotField showAll="0"/>
    <pivotField numFmtId="166" showAll="0"/>
    <pivotField numFmtId="166" showAll="0"/>
    <pivotField showAll="0"/>
    <pivotField numFmtId="167" showAll="0"/>
    <pivotField showAll="0"/>
    <pivotField showAll="0"/>
    <pivotField numFmtId="167"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dragToRow="0" dragToCol="0" dragToPage="0" showAll="0" defaultSubtotal="0"/>
    <pivotField dragToRow="0" dragToCol="0" dragToPage="0" showAll="0" defaultSubtotal="0"/>
    <pivotField showAll="0" defaultSubtotal="0">
      <items count="4">
        <item x="0"/>
        <item x="1"/>
        <item x="2"/>
        <item x="3"/>
      </items>
    </pivotField>
    <pivotField axis="axisPage" showAll="0" defaultSubtotal="0">
      <items count="14">
        <item sd="0" x="0"/>
        <item sd="0" x="1"/>
        <item sd="0" x="2"/>
        <item sd="0" x="3"/>
        <item sd="0" x="4"/>
        <item sd="0" x="5"/>
        <item sd="0" x="6"/>
        <item sd="0" x="7"/>
        <item sd="0" x="8"/>
        <item sd="0" x="9"/>
        <item sd="0" x="10"/>
        <item sd="0" x="11"/>
        <item sd="0" x="12"/>
        <item sd="0" x="13"/>
      </items>
    </pivotField>
    <pivotField axis="axisPage" showAll="0" defaultSubtotal="0">
      <items count="6">
        <item sd="0" x="1"/>
        <item sd="0" x="2"/>
        <item sd="0" x="3"/>
        <item sd="0" x="4"/>
        <item x="0"/>
        <item x="5"/>
      </items>
    </pivotField>
    <pivotField axis="axisPage" showAll="0" defaultSubtotal="0">
      <items count="3">
        <item x="1"/>
        <item x="0"/>
        <item x="2"/>
      </items>
    </pivotField>
    <pivotField dragToRow="0" dragToCol="0" dragToPage="0" showAll="0" defaultSubtotal="0"/>
    <pivotField dataField="1" dragToRow="0" dragToCol="0" dragToPage="0" showAll="0" defaultSubtotal="0"/>
    <pivotField dataField="1" dragToRow="0" dragToCol="0" dragToPage="0" showAll="0" defaultSubtotal="0"/>
    <pivotField dragToRow="0" dragToCol="0" dragToPage="0" showAll="0" defaultSubtotal="0"/>
    <pivotField dragToRow="0" dragToCol="0" dragToPage="0" showAll="0" defaultSubtotal="0"/>
  </pivotFields>
  <rowFields count="1">
    <field x="16"/>
  </rowFields>
  <rowItems count="15">
    <i>
      <x/>
    </i>
    <i>
      <x v="1"/>
    </i>
    <i>
      <x v="2"/>
    </i>
    <i>
      <x v="3"/>
    </i>
    <i>
      <x v="4"/>
    </i>
    <i>
      <x v="5"/>
    </i>
    <i>
      <x v="6"/>
    </i>
    <i>
      <x v="7"/>
    </i>
    <i>
      <x v="8"/>
    </i>
    <i>
      <x v="9"/>
    </i>
    <i>
      <x v="10"/>
    </i>
    <i>
      <x v="11"/>
    </i>
    <i>
      <x v="12"/>
    </i>
    <i>
      <x v="13"/>
    </i>
    <i>
      <x v="14"/>
    </i>
  </rowItems>
  <colFields count="1">
    <field x="-2"/>
  </colFields>
  <colItems count="2">
    <i>
      <x/>
    </i>
    <i i="1">
      <x v="1"/>
    </i>
  </colItems>
  <pageFields count="5">
    <pageField fld="74" hier="-1"/>
    <pageField fld="73" hier="-1"/>
    <pageField fld="72" hier="-1"/>
    <pageField fld="17" hier="-1"/>
    <pageField fld="2" hier="-1"/>
  </pageFields>
  <dataFields count="2">
    <dataField name="% +" fld="76" baseField="0" baseItem="0" numFmtId="10"/>
    <dataField name="% -" fld="77" baseField="0" baseItem="0" numFmtId="10"/>
  </dataFields>
  <chartFormats count="2">
    <chartFormat chart="15" format="11" series="1">
      <pivotArea type="data" outline="0" fieldPosition="0">
        <references count="1">
          <reference field="4294967294" count="1" selected="0">
            <x v="1"/>
          </reference>
        </references>
      </pivotArea>
    </chartFormat>
    <chartFormat chart="15" format="12" series="1">
      <pivotArea type="data" outline="0" fieldPosition="0">
        <references count="1">
          <reference field="4294967294" count="1" selected="0">
            <x v="0"/>
          </reference>
        </references>
      </pivotArea>
    </chartFormat>
  </chart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3.xml><?xml version="1.0" encoding="utf-8"?>
<pivotTableDefinition xmlns="http://schemas.openxmlformats.org/spreadsheetml/2006/main" xmlns:mc="http://schemas.openxmlformats.org/markup-compatibility/2006" xmlns:xr="http://schemas.microsoft.com/office/spreadsheetml/2014/revision" mc:Ignorable="xr" xr:uid="{0CD0218E-F75E-43F6-81CE-06AB4BD48FA0}" name="Tableau croisé dynamique2" cacheId="10" applyNumberFormats="0" applyBorderFormats="0" applyFontFormats="0" applyPatternFormats="0" applyAlignmentFormats="0" applyWidthHeightFormats="1" dataCaption="Valeurs" updatedVersion="6" minRefreshableVersion="3" useAutoFormatting="1" itemPrintTitles="1" createdVersion="6" indent="0" outline="1" outlineData="1" multipleFieldFilters="0">
  <location ref="A8:B14" firstHeaderRow="1" firstDataRow="1" firstDataCol="1" rowPageCount="6" colPageCount="1"/>
  <pivotFields count="80">
    <pivotField axis="axisPage" numFmtId="22" multipleItemSelectionAllowed="1" showAll="0">
      <items count="369">
        <item x="1"/>
        <item x="2"/>
        <item x="3"/>
        <item x="4"/>
        <item x="5"/>
        <item x="6"/>
        <item x="7"/>
        <item x="8"/>
        <item x="9"/>
        <item x="10"/>
        <item x="11"/>
        <item x="12"/>
        <item x="13"/>
        <item x="14"/>
        <item x="15"/>
        <item x="16"/>
        <item x="17"/>
        <item x="18"/>
        <item x="19"/>
        <item x="20"/>
        <item x="21"/>
        <item x="22"/>
        <item x="23"/>
        <item x="24"/>
        <item x="25"/>
        <item x="26"/>
        <item x="27"/>
        <item x="28"/>
        <item x="29"/>
        <item x="30"/>
        <item x="31"/>
        <item x="32"/>
        <item x="33"/>
        <item x="34"/>
        <item x="35"/>
        <item x="36"/>
        <item x="37"/>
        <item x="38"/>
        <item x="39"/>
        <item x="40"/>
        <item x="41"/>
        <item x="42"/>
        <item x="43"/>
        <item x="44"/>
        <item x="45"/>
        <item x="46"/>
        <item x="47"/>
        <item x="48"/>
        <item x="49"/>
        <item x="50"/>
        <item x="51"/>
        <item x="52"/>
        <item x="53"/>
        <item x="54"/>
        <item x="55"/>
        <item x="56"/>
        <item x="57"/>
        <item x="58"/>
        <item x="59"/>
        <item x="60"/>
        <item x="61"/>
        <item x="62"/>
        <item x="63"/>
        <item x="64"/>
        <item x="65"/>
        <item x="66"/>
        <item x="67"/>
        <item x="68"/>
        <item x="69"/>
        <item x="70"/>
        <item x="71"/>
        <item x="72"/>
        <item x="73"/>
        <item x="74"/>
        <item x="75"/>
        <item x="76"/>
        <item x="77"/>
        <item x="78"/>
        <item x="79"/>
        <item x="80"/>
        <item x="81"/>
        <item x="82"/>
        <item x="83"/>
        <item x="84"/>
        <item x="85"/>
        <item x="86"/>
        <item x="87"/>
        <item x="88"/>
        <item x="89"/>
        <item x="90"/>
        <item x="91"/>
        <item x="92"/>
        <item x="93"/>
        <item x="94"/>
        <item x="95"/>
        <item x="96"/>
        <item x="97"/>
        <item x="98"/>
        <item x="99"/>
        <item x="100"/>
        <item x="101"/>
        <item x="102"/>
        <item x="103"/>
        <item x="104"/>
        <item x="105"/>
        <item x="106"/>
        <item x="107"/>
        <item x="108"/>
        <item x="109"/>
        <item x="110"/>
        <item x="111"/>
        <item x="112"/>
        <item x="113"/>
        <item x="114"/>
        <item x="115"/>
        <item x="116"/>
        <item x="117"/>
        <item x="118"/>
        <item x="119"/>
        <item x="120"/>
        <item x="121"/>
        <item x="122"/>
        <item x="123"/>
        <item x="124"/>
        <item x="125"/>
        <item x="126"/>
        <item x="127"/>
        <item x="128"/>
        <item x="129"/>
        <item x="130"/>
        <item x="131"/>
        <item x="132"/>
        <item x="133"/>
        <item x="134"/>
        <item x="135"/>
        <item x="136"/>
        <item x="137"/>
        <item x="138"/>
        <item x="139"/>
        <item x="140"/>
        <item x="141"/>
        <item x="142"/>
        <item x="143"/>
        <item x="144"/>
        <item x="145"/>
        <item x="146"/>
        <item x="147"/>
        <item x="148"/>
        <item x="149"/>
        <item x="150"/>
        <item x="151"/>
        <item x="152"/>
        <item x="153"/>
        <item x="154"/>
        <item x="155"/>
        <item x="156"/>
        <item x="157"/>
        <item x="158"/>
        <item x="159"/>
        <item x="160"/>
        <item x="161"/>
        <item x="162"/>
        <item x="163"/>
        <item x="164"/>
        <item x="165"/>
        <item x="166"/>
        <item x="167"/>
        <item x="168"/>
        <item x="169"/>
        <item x="170"/>
        <item x="171"/>
        <item x="172"/>
        <item x="173"/>
        <item x="174"/>
        <item x="175"/>
        <item x="176"/>
        <item x="177"/>
        <item x="178"/>
        <item x="179"/>
        <item x="180"/>
        <item x="181"/>
        <item x="182"/>
        <item x="183"/>
        <item x="184"/>
        <item x="185"/>
        <item x="186"/>
        <item x="187"/>
        <item x="188"/>
        <item x="189"/>
        <item x="190"/>
        <item x="191"/>
        <item x="192"/>
        <item x="193"/>
        <item x="194"/>
        <item x="195"/>
        <item x="196"/>
        <item x="197"/>
        <item x="198"/>
        <item x="199"/>
        <item x="200"/>
        <item x="201"/>
        <item x="202"/>
        <item x="203"/>
        <item x="204"/>
        <item x="205"/>
        <item x="206"/>
        <item x="207"/>
        <item x="208"/>
        <item x="209"/>
        <item x="210"/>
        <item x="211"/>
        <item x="212"/>
        <item x="213"/>
        <item x="214"/>
        <item x="215"/>
        <item x="216"/>
        <item x="217"/>
        <item x="218"/>
        <item x="219"/>
        <item x="220"/>
        <item x="221"/>
        <item x="222"/>
        <item x="223"/>
        <item x="224"/>
        <item x="225"/>
        <item x="226"/>
        <item x="227"/>
        <item x="228"/>
        <item x="229"/>
        <item x="230"/>
        <item x="231"/>
        <item x="232"/>
        <item x="233"/>
        <item x="234"/>
        <item x="235"/>
        <item x="236"/>
        <item x="237"/>
        <item x="238"/>
        <item x="239"/>
        <item x="240"/>
        <item x="241"/>
        <item x="242"/>
        <item x="243"/>
        <item x="244"/>
        <item x="245"/>
        <item x="246"/>
        <item x="247"/>
        <item x="248"/>
        <item x="249"/>
        <item x="250"/>
        <item x="251"/>
        <item x="252"/>
        <item x="253"/>
        <item x="254"/>
        <item x="255"/>
        <item x="256"/>
        <item x="257"/>
        <item x="258"/>
        <item x="259"/>
        <item x="260"/>
        <item x="261"/>
        <item x="262"/>
        <item x="263"/>
        <item x="264"/>
        <item x="265"/>
        <item x="266"/>
        <item x="267"/>
        <item x="268"/>
        <item x="269"/>
        <item x="270"/>
        <item x="271"/>
        <item x="272"/>
        <item x="273"/>
        <item x="274"/>
        <item x="275"/>
        <item x="276"/>
        <item x="277"/>
        <item x="278"/>
        <item x="279"/>
        <item x="280"/>
        <item x="281"/>
        <item x="282"/>
        <item x="283"/>
        <item x="284"/>
        <item x="285"/>
        <item x="286"/>
        <item x="287"/>
        <item x="288"/>
        <item x="289"/>
        <item x="290"/>
        <item x="291"/>
        <item x="292"/>
        <item x="293"/>
        <item x="294"/>
        <item x="295"/>
        <item x="296"/>
        <item x="297"/>
        <item x="298"/>
        <item x="299"/>
        <item x="300"/>
        <item x="301"/>
        <item x="302"/>
        <item x="303"/>
        <item x="304"/>
        <item x="305"/>
        <item x="306"/>
        <item x="307"/>
        <item x="308"/>
        <item x="309"/>
        <item x="310"/>
        <item x="311"/>
        <item x="312"/>
        <item x="313"/>
        <item x="314"/>
        <item x="315"/>
        <item x="316"/>
        <item x="317"/>
        <item x="318"/>
        <item x="319"/>
        <item x="320"/>
        <item x="321"/>
        <item x="322"/>
        <item x="323"/>
        <item x="324"/>
        <item x="325"/>
        <item x="326"/>
        <item x="327"/>
        <item x="328"/>
        <item x="329"/>
        <item x="330"/>
        <item x="331"/>
        <item x="332"/>
        <item x="333"/>
        <item x="334"/>
        <item x="335"/>
        <item x="336"/>
        <item x="337"/>
        <item x="338"/>
        <item x="339"/>
        <item x="340"/>
        <item x="341"/>
        <item x="342"/>
        <item x="343"/>
        <item x="344"/>
        <item x="345"/>
        <item x="346"/>
        <item x="347"/>
        <item x="348"/>
        <item x="349"/>
        <item x="350"/>
        <item x="351"/>
        <item x="352"/>
        <item x="353"/>
        <item x="354"/>
        <item x="355"/>
        <item x="356"/>
        <item x="357"/>
        <item x="358"/>
        <item x="359"/>
        <item x="360"/>
        <item x="361"/>
        <item x="362"/>
        <item x="363"/>
        <item x="364"/>
        <item x="365"/>
        <item x="366"/>
        <item x="0"/>
        <item x="367"/>
        <item t="default"/>
      </items>
    </pivotField>
    <pivotField numFmtId="164" showAll="0"/>
    <pivotField axis="axisPage" showAll="0">
      <items count="6">
        <item m="1" x="2"/>
        <item x="0"/>
        <item m="1" x="4"/>
        <item m="1" x="3"/>
        <item x="1"/>
        <item t="default"/>
      </items>
    </pivotField>
    <pivotField showAll="0"/>
    <pivotField showAll="0"/>
    <pivotField numFmtId="165" showAll="0"/>
    <pivotField numFmtId="165" showAll="0"/>
    <pivotField numFmtId="165" showAll="0"/>
    <pivotField numFmtId="22" showAll="0"/>
    <pivotField numFmtId="165" showAll="0"/>
    <pivotField numFmtId="165" showAll="0"/>
    <pivotField numFmtId="165" showAll="0"/>
    <pivotField numFmtId="166" showAll="0"/>
    <pivotField showAll="0"/>
    <pivotField numFmtId="166" showAll="0"/>
    <pivotField numFmtId="166" showAll="0"/>
    <pivotField numFmtId="14" showAll="0"/>
    <pivotField axis="axisPage" showAll="0">
      <items count="12">
        <item m="1" x="9"/>
        <item m="1" x="4"/>
        <item m="1" x="10"/>
        <item m="1" x="5"/>
        <item m="1" x="8"/>
        <item m="1" x="7"/>
        <item m="1" x="3"/>
        <item m="1" x="6"/>
        <item x="0"/>
        <item x="2"/>
        <item x="1"/>
        <item t="default"/>
      </items>
    </pivotField>
    <pivotField numFmtId="174" showAll="0"/>
    <pivotField numFmtId="175" showAll="0"/>
    <pivotField showAll="0"/>
    <pivotField showAll="0"/>
    <pivotField numFmtId="167" showAll="0"/>
    <pivotField numFmtId="167" showAll="0"/>
    <pivotField showAll="0"/>
    <pivotField showAll="0"/>
    <pivotField numFmtId="166" showAll="0"/>
    <pivotField numFmtId="166" showAll="0"/>
    <pivotField numFmtId="22" showAll="0"/>
    <pivotField numFmtId="166" showAll="0"/>
    <pivotField numFmtId="166" showAll="0"/>
    <pivotField numFmtId="22" showAll="0"/>
    <pivotField numFmtId="43" showAll="0"/>
    <pivotField numFmtId="43" showAll="0"/>
    <pivotField showAll="0"/>
    <pivotField numFmtId="10" showAll="0"/>
    <pivotField showAll="0"/>
    <pivotField numFmtId="166" showAll="0"/>
    <pivotField numFmtId="166" showAll="0"/>
    <pivotField showAll="0"/>
    <pivotField numFmtId="167" showAll="0"/>
    <pivotField showAll="0"/>
    <pivotField showAll="0"/>
    <pivotField numFmtId="167"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axis="axisRow" dataField="1" showAll="0">
      <items count="7">
        <item x="0"/>
        <item m="1" x="5"/>
        <item x="4"/>
        <item x="3"/>
        <item x="1"/>
        <item x="2"/>
        <item t="default"/>
      </items>
    </pivotField>
    <pivotField showAll="0"/>
    <pivotField showAll="0"/>
    <pivotField showAll="0"/>
    <pivotField showAll="0"/>
    <pivotField showAll="0"/>
    <pivotField showAll="0"/>
    <pivotField showAll="0"/>
    <pivotField showAll="0"/>
    <pivotField showAll="0"/>
    <pivotField showAll="0"/>
    <pivotField showAll="0"/>
    <pivotField dragToRow="0" dragToCol="0" dragToPage="0" showAll="0" defaultSubtotal="0"/>
    <pivotField dragToRow="0" dragToCol="0" dragToPage="0" showAll="0" defaultSubtotal="0"/>
    <pivotField showAll="0">
      <items count="5">
        <item x="0"/>
        <item x="1"/>
        <item x="2"/>
        <item x="3"/>
        <item t="default"/>
      </items>
    </pivotField>
    <pivotField axis="axisPage" showAll="0">
      <items count="15">
        <item x="0"/>
        <item x="1"/>
        <item x="2"/>
        <item x="3"/>
        <item x="4"/>
        <item x="5"/>
        <item x="6"/>
        <item x="7"/>
        <item x="8"/>
        <item x="9"/>
        <item x="10"/>
        <item x="11"/>
        <item x="12"/>
        <item x="13"/>
        <item t="default"/>
      </items>
    </pivotField>
    <pivotField axis="axisPage" showAll="0">
      <items count="7">
        <item x="1"/>
        <item x="2"/>
        <item x="3"/>
        <item x="4"/>
        <item x="0"/>
        <item x="5"/>
        <item t="default"/>
      </items>
    </pivotField>
    <pivotField axis="axisPage" showAll="0">
      <items count="4">
        <item x="1"/>
        <item x="0"/>
        <item x="2"/>
        <item t="default"/>
      </items>
    </pivotField>
    <pivotField dragToRow="0" dragToCol="0" dragToPage="0" showAll="0" defaultSubtotal="0"/>
    <pivotField dragToRow="0" dragToCol="0" dragToPage="0" showAll="0" defaultSubtotal="0"/>
    <pivotField dragToRow="0" dragToCol="0" dragToPage="0" showAll="0" defaultSubtotal="0"/>
    <pivotField dragToRow="0" dragToCol="0" dragToPage="0" showAll="0" defaultSubtotal="0"/>
    <pivotField dragToRow="0" dragToCol="0" dragToPage="0" showAll="0" defaultSubtotal="0"/>
  </pivotFields>
  <rowFields count="1">
    <field x="57"/>
  </rowFields>
  <rowItems count="6">
    <i>
      <x/>
    </i>
    <i>
      <x v="2"/>
    </i>
    <i>
      <x v="3"/>
    </i>
    <i>
      <x v="4"/>
    </i>
    <i>
      <x v="5"/>
    </i>
    <i t="grand">
      <x/>
    </i>
  </rowItems>
  <colItems count="1">
    <i/>
  </colItems>
  <pageFields count="6">
    <pageField fld="74" hier="-1"/>
    <pageField fld="73" hier="-1"/>
    <pageField fld="72" hier="-1"/>
    <pageField fld="17" hier="-1"/>
    <pageField fld="0" hier="-1"/>
    <pageField fld="2" hier="-1"/>
  </pageFields>
  <dataFields count="1">
    <dataField name="Moyenne de Note du trade" fld="57" subtotal="average" baseField="0" baseItem="295" numFmtId="168"/>
  </dataField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4.xml><?xml version="1.0" encoding="utf-8"?>
<pivotTableDefinition xmlns="http://schemas.openxmlformats.org/spreadsheetml/2006/main" xmlns:mc="http://schemas.openxmlformats.org/markup-compatibility/2006" xmlns:xr="http://schemas.microsoft.com/office/spreadsheetml/2014/revision" mc:Ignorable="xr" xr:uid="{66C128BB-D9ED-46EA-A5D5-AD56B8B855D5}" name="Tableau croisé dynamique3" cacheId="10" applyNumberFormats="0" applyBorderFormats="0" applyFontFormats="0" applyPatternFormats="0" applyAlignmentFormats="0" applyWidthHeightFormats="1" dataCaption="Valeurs" updatedVersion="6" minRefreshableVersion="3" useAutoFormatting="1" rowGrandTotals="0" itemPrintTitles="1" createdVersion="6" indent="0" outline="1" outlineData="1" chartFormat="33">
  <location ref="A8:B12" firstHeaderRow="1" firstDataRow="1" firstDataCol="1" rowPageCount="6" colPageCount="1"/>
  <pivotFields count="80">
    <pivotField axis="axisPage" numFmtId="22" multipleItemSelectionAllowed="1" showAll="0" defaultSubtotal="0">
      <items count="368">
        <item x="1"/>
        <item x="2"/>
        <item x="3"/>
        <item x="4"/>
        <item x="5"/>
        <item x="6"/>
        <item x="7"/>
        <item x="8"/>
        <item x="9"/>
        <item x="10"/>
        <item x="11"/>
        <item x="12"/>
        <item x="13"/>
        <item x="14"/>
        <item x="15"/>
        <item x="16"/>
        <item x="17"/>
        <item x="18"/>
        <item x="19"/>
        <item x="20"/>
        <item x="21"/>
        <item x="22"/>
        <item x="23"/>
        <item x="24"/>
        <item x="25"/>
        <item x="26"/>
        <item x="27"/>
        <item x="28"/>
        <item x="29"/>
        <item x="30"/>
        <item x="31"/>
        <item x="32"/>
        <item x="33"/>
        <item x="34"/>
        <item x="35"/>
        <item x="36"/>
        <item x="37"/>
        <item x="38"/>
        <item x="39"/>
        <item x="40"/>
        <item x="41"/>
        <item x="42"/>
        <item x="43"/>
        <item x="44"/>
        <item x="45"/>
        <item x="46"/>
        <item x="47"/>
        <item x="48"/>
        <item x="49"/>
        <item x="50"/>
        <item x="51"/>
        <item x="52"/>
        <item x="53"/>
        <item x="54"/>
        <item x="55"/>
        <item x="56"/>
        <item x="57"/>
        <item x="58"/>
        <item x="59"/>
        <item x="60"/>
        <item x="61"/>
        <item x="62"/>
        <item x="63"/>
        <item x="64"/>
        <item x="65"/>
        <item x="66"/>
        <item x="67"/>
        <item x="68"/>
        <item x="69"/>
        <item x="70"/>
        <item x="71"/>
        <item x="72"/>
        <item x="73"/>
        <item x="74"/>
        <item x="75"/>
        <item x="76"/>
        <item x="77"/>
        <item x="78"/>
        <item x="79"/>
        <item x="80"/>
        <item x="81"/>
        <item x="82"/>
        <item x="83"/>
        <item x="84"/>
        <item x="85"/>
        <item x="86"/>
        <item x="87"/>
        <item x="88"/>
        <item x="89"/>
        <item x="90"/>
        <item x="91"/>
        <item x="92"/>
        <item x="93"/>
        <item x="94"/>
        <item x="95"/>
        <item x="96"/>
        <item x="97"/>
        <item x="98"/>
        <item x="99"/>
        <item x="100"/>
        <item x="101"/>
        <item x="102"/>
        <item x="103"/>
        <item x="104"/>
        <item x="105"/>
        <item x="106"/>
        <item x="107"/>
        <item x="108"/>
        <item x="109"/>
        <item x="110"/>
        <item x="111"/>
        <item x="112"/>
        <item x="113"/>
        <item x="114"/>
        <item x="115"/>
        <item x="116"/>
        <item x="117"/>
        <item x="118"/>
        <item x="119"/>
        <item x="120"/>
        <item x="121"/>
        <item x="122"/>
        <item x="123"/>
        <item x="124"/>
        <item x="125"/>
        <item x="126"/>
        <item x="127"/>
        <item x="128"/>
        <item x="129"/>
        <item x="130"/>
        <item x="131"/>
        <item x="132"/>
        <item x="133"/>
        <item x="134"/>
        <item x="135"/>
        <item x="136"/>
        <item x="137"/>
        <item x="138"/>
        <item x="139"/>
        <item x="140"/>
        <item x="141"/>
        <item x="142"/>
        <item x="143"/>
        <item x="144"/>
        <item x="145"/>
        <item x="146"/>
        <item x="147"/>
        <item x="148"/>
        <item x="149"/>
        <item x="150"/>
        <item x="151"/>
        <item x="152"/>
        <item x="153"/>
        <item x="154"/>
        <item x="155"/>
        <item x="156"/>
        <item x="157"/>
        <item x="158"/>
        <item x="159"/>
        <item x="160"/>
        <item x="161"/>
        <item x="162"/>
        <item x="163"/>
        <item x="164"/>
        <item x="165"/>
        <item x="166"/>
        <item x="167"/>
        <item x="168"/>
        <item x="169"/>
        <item x="170"/>
        <item x="171"/>
        <item x="172"/>
        <item x="173"/>
        <item x="174"/>
        <item x="175"/>
        <item x="176"/>
        <item x="177"/>
        <item x="178"/>
        <item x="179"/>
        <item x="180"/>
        <item x="181"/>
        <item x="182"/>
        <item x="183"/>
        <item x="184"/>
        <item x="185"/>
        <item x="186"/>
        <item x="187"/>
        <item x="188"/>
        <item x="189"/>
        <item x="190"/>
        <item x="191"/>
        <item x="192"/>
        <item x="193"/>
        <item x="194"/>
        <item x="195"/>
        <item x="196"/>
        <item x="197"/>
        <item x="198"/>
        <item x="199"/>
        <item x="200"/>
        <item x="201"/>
        <item x="202"/>
        <item x="203"/>
        <item x="204"/>
        <item x="205"/>
        <item x="206"/>
        <item x="207"/>
        <item x="208"/>
        <item x="209"/>
        <item x="210"/>
        <item x="211"/>
        <item x="212"/>
        <item x="213"/>
        <item x="214"/>
        <item x="215"/>
        <item x="216"/>
        <item x="217"/>
        <item x="218"/>
        <item x="219"/>
        <item x="220"/>
        <item x="221"/>
        <item x="222"/>
        <item x="223"/>
        <item x="224"/>
        <item x="225"/>
        <item x="226"/>
        <item x="227"/>
        <item x="228"/>
        <item x="229"/>
        <item x="230"/>
        <item x="231"/>
        <item x="232"/>
        <item x="233"/>
        <item x="234"/>
        <item x="235"/>
        <item x="236"/>
        <item x="237"/>
        <item x="238"/>
        <item x="239"/>
        <item x="240"/>
        <item x="241"/>
        <item x="242"/>
        <item x="243"/>
        <item x="244"/>
        <item x="245"/>
        <item x="246"/>
        <item x="247"/>
        <item x="248"/>
        <item x="249"/>
        <item x="250"/>
        <item x="251"/>
        <item x="252"/>
        <item x="253"/>
        <item x="254"/>
        <item x="255"/>
        <item x="256"/>
        <item x="257"/>
        <item x="258"/>
        <item x="259"/>
        <item x="260"/>
        <item x="261"/>
        <item x="262"/>
        <item x="263"/>
        <item x="264"/>
        <item x="265"/>
        <item x="266"/>
        <item x="267"/>
        <item x="268"/>
        <item x="269"/>
        <item x="270"/>
        <item x="271"/>
        <item x="272"/>
        <item x="273"/>
        <item x="274"/>
        <item x="275"/>
        <item x="276"/>
        <item x="277"/>
        <item x="278"/>
        <item x="279"/>
        <item x="280"/>
        <item x="281"/>
        <item x="282"/>
        <item x="283"/>
        <item x="284"/>
        <item x="285"/>
        <item x="286"/>
        <item x="287"/>
        <item x="288"/>
        <item x="289"/>
        <item x="290"/>
        <item x="291"/>
        <item x="292"/>
        <item x="293"/>
        <item x="294"/>
        <item x="295"/>
        <item x="296"/>
        <item x="297"/>
        <item x="298"/>
        <item x="299"/>
        <item x="300"/>
        <item x="301"/>
        <item x="302"/>
        <item x="303"/>
        <item x="304"/>
        <item x="305"/>
        <item x="306"/>
        <item x="307"/>
        <item x="308"/>
        <item x="309"/>
        <item x="310"/>
        <item x="311"/>
        <item x="312"/>
        <item x="313"/>
        <item x="314"/>
        <item x="315"/>
        <item x="316"/>
        <item x="317"/>
        <item x="318"/>
        <item x="319"/>
        <item x="320"/>
        <item x="321"/>
        <item x="322"/>
        <item x="323"/>
        <item x="324"/>
        <item x="325"/>
        <item x="326"/>
        <item x="327"/>
        <item x="328"/>
        <item x="329"/>
        <item x="330"/>
        <item x="331"/>
        <item x="332"/>
        <item x="333"/>
        <item x="334"/>
        <item x="335"/>
        <item x="336"/>
        <item x="337"/>
        <item x="338"/>
        <item x="339"/>
        <item x="340"/>
        <item x="341"/>
        <item x="342"/>
        <item x="343"/>
        <item x="344"/>
        <item x="345"/>
        <item x="346"/>
        <item x="347"/>
        <item x="348"/>
        <item x="349"/>
        <item x="350"/>
        <item x="351"/>
        <item x="352"/>
        <item x="353"/>
        <item x="354"/>
        <item x="355"/>
        <item x="356"/>
        <item x="357"/>
        <item x="358"/>
        <item x="359"/>
        <item x="360"/>
        <item x="361"/>
        <item x="362"/>
        <item x="363"/>
        <item x="364"/>
        <item x="365"/>
        <item x="366"/>
        <item x="0"/>
        <item x="367"/>
      </items>
    </pivotField>
    <pivotField numFmtId="164" showAll="0"/>
    <pivotField axis="axisPage" showAll="0">
      <items count="6">
        <item x="0"/>
        <item m="1" x="2"/>
        <item m="1" x="4"/>
        <item m="1" x="3"/>
        <item x="1"/>
        <item t="default"/>
      </items>
    </pivotField>
    <pivotField showAll="0"/>
    <pivotField showAll="0"/>
    <pivotField numFmtId="165" showAll="0"/>
    <pivotField numFmtId="165" showAll="0"/>
    <pivotField numFmtId="165" showAll="0"/>
    <pivotField numFmtId="22" showAll="0"/>
    <pivotField numFmtId="165" showAll="0"/>
    <pivotField numFmtId="165" showAll="0"/>
    <pivotField numFmtId="165" showAll="0"/>
    <pivotField numFmtId="166" showAll="0"/>
    <pivotField showAll="0"/>
    <pivotField numFmtId="166" showAll="0"/>
    <pivotField numFmtId="166" showAll="0"/>
    <pivotField numFmtId="14" showAll="0"/>
    <pivotField axis="axisPage" showAll="0">
      <items count="12">
        <item m="1" x="9"/>
        <item m="1" x="4"/>
        <item m="1" x="10"/>
        <item m="1" x="5"/>
        <item m="1" x="8"/>
        <item m="1" x="7"/>
        <item m="1" x="3"/>
        <item m="1" x="6"/>
        <item x="0"/>
        <item x="2"/>
        <item x="1"/>
        <item t="default"/>
      </items>
    </pivotField>
    <pivotField numFmtId="174" showAll="0"/>
    <pivotField numFmtId="175" showAll="0"/>
    <pivotField showAll="0"/>
    <pivotField showAll="0"/>
    <pivotField numFmtId="167" showAll="0"/>
    <pivotField numFmtId="167" showAll="0"/>
    <pivotField showAll="0"/>
    <pivotField showAll="0"/>
    <pivotField numFmtId="166" showAll="0"/>
    <pivotField numFmtId="166" showAll="0"/>
    <pivotField numFmtId="22" showAll="0"/>
    <pivotField numFmtId="166" showAll="0"/>
    <pivotField numFmtId="166" showAll="0"/>
    <pivotField numFmtId="22" showAll="0"/>
    <pivotField numFmtId="43" showAll="0"/>
    <pivotField numFmtId="43" showAll="0"/>
    <pivotField showAll="0"/>
    <pivotField numFmtId="10" showAll="0"/>
    <pivotField showAll="0"/>
    <pivotField numFmtId="166" showAll="0"/>
    <pivotField numFmtId="166" showAll="0"/>
    <pivotField numFmtId="10" showAll="0"/>
    <pivotField numFmtId="167" showAll="0"/>
    <pivotField showAll="0"/>
    <pivotField showAll="0"/>
    <pivotField numFmtId="167"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axis="axisRow" dataField="1" showAll="0">
      <items count="5">
        <item x="0"/>
        <item x="1"/>
        <item x="2"/>
        <item x="3"/>
        <item t="default"/>
      </items>
    </pivotField>
    <pivotField showAll="0"/>
    <pivotField showAll="0"/>
    <pivotField showAll="0"/>
    <pivotField showAll="0"/>
    <pivotField showAll="0"/>
    <pivotField showAll="0"/>
    <pivotField showAll="0"/>
    <pivotField showAll="0"/>
    <pivotField showAll="0"/>
    <pivotField dragToRow="0" dragToCol="0" dragToPage="0" showAll="0" defaultSubtotal="0"/>
    <pivotField dragToRow="0" dragToCol="0" dragToPage="0" showAll="0" defaultSubtotal="0"/>
    <pivotField showAll="0">
      <items count="5">
        <item x="0"/>
        <item x="1"/>
        <item x="2"/>
        <item x="3"/>
        <item t="default"/>
      </items>
    </pivotField>
    <pivotField axis="axisPage" showAll="0">
      <items count="15">
        <item x="0"/>
        <item x="1"/>
        <item x="2"/>
        <item x="3"/>
        <item x="4"/>
        <item x="5"/>
        <item x="6"/>
        <item x="7"/>
        <item x="8"/>
        <item x="9"/>
        <item x="10"/>
        <item x="11"/>
        <item x="12"/>
        <item x="13"/>
        <item t="default"/>
      </items>
    </pivotField>
    <pivotField axis="axisPage" showAll="0">
      <items count="7">
        <item x="1"/>
        <item x="2"/>
        <item x="3"/>
        <item x="4"/>
        <item x="0"/>
        <item x="5"/>
        <item t="default"/>
      </items>
    </pivotField>
    <pivotField axis="axisPage" showAll="0">
      <items count="4">
        <item x="1"/>
        <item x="0"/>
        <item x="2"/>
        <item t="default"/>
      </items>
    </pivotField>
    <pivotField dragToRow="0" dragToCol="0" dragToPage="0" showAll="0" defaultSubtotal="0"/>
    <pivotField dragToRow="0" dragToCol="0" dragToPage="0" showAll="0" defaultSubtotal="0"/>
    <pivotField dragToRow="0" dragToCol="0" dragToPage="0" showAll="0" defaultSubtotal="0"/>
    <pivotField dragToRow="0" dragToCol="0" dragToPage="0" showAll="0" defaultSubtotal="0"/>
    <pivotField dragToRow="0" dragToCol="0" dragToPage="0" showAll="0" defaultSubtotal="0"/>
  </pivotFields>
  <rowFields count="1">
    <field x="59"/>
  </rowFields>
  <rowItems count="4">
    <i>
      <x/>
    </i>
    <i>
      <x v="1"/>
    </i>
    <i>
      <x v="2"/>
    </i>
    <i>
      <x v="3"/>
    </i>
  </rowItems>
  <colItems count="1">
    <i/>
  </colItems>
  <pageFields count="6">
    <pageField fld="74" hier="-1"/>
    <pageField fld="73" hier="-1"/>
    <pageField fld="72" hier="-1"/>
    <pageField fld="17" hier="-1"/>
    <pageField fld="0" hier="-1"/>
    <pageField fld="2" hier="-1"/>
  </pageFields>
  <dataFields count="1">
    <dataField name="Nombre de Résultat" fld="59" subtotal="count" showDataAs="percentOfCol" baseField="32" baseItem="0" numFmtId="10"/>
  </dataField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5.xml><?xml version="1.0" encoding="utf-8"?>
<pivotTableDefinition xmlns="http://schemas.openxmlformats.org/spreadsheetml/2006/main" xmlns:mc="http://schemas.openxmlformats.org/markup-compatibility/2006" xmlns:xr="http://schemas.microsoft.com/office/spreadsheetml/2014/revision" mc:Ignorable="xr" xr:uid="{F4E01D71-9357-47F0-98ED-133BBEAF8425}" name="Tableau croisé dynamique1" cacheId="10" applyNumberFormats="0" applyBorderFormats="0" applyFontFormats="0" applyPatternFormats="0" applyAlignmentFormats="0" applyWidthHeightFormats="1" dataCaption="Valeurs" updatedVersion="6" minRefreshableVersion="3" useAutoFormatting="1" itemPrintTitles="1" createdVersion="6" indent="0" outline="1" outlineData="1" multipleFieldFilters="0" chartFormat="10">
  <location ref="A7:D23" firstHeaderRow="0" firstDataRow="1" firstDataCol="1" rowPageCount="5" colPageCount="1"/>
  <pivotFields count="80">
    <pivotField numFmtId="22" showAll="0">
      <items count="369">
        <item x="1"/>
        <item x="2"/>
        <item x="3"/>
        <item x="4"/>
        <item x="5"/>
        <item x="6"/>
        <item x="7"/>
        <item x="8"/>
        <item x="9"/>
        <item x="10"/>
        <item x="11"/>
        <item x="12"/>
        <item x="13"/>
        <item x="14"/>
        <item x="15"/>
        <item x="16"/>
        <item x="17"/>
        <item x="18"/>
        <item x="19"/>
        <item x="20"/>
        <item x="21"/>
        <item x="22"/>
        <item x="23"/>
        <item x="24"/>
        <item x="25"/>
        <item x="26"/>
        <item x="27"/>
        <item x="28"/>
        <item x="29"/>
        <item x="30"/>
        <item x="31"/>
        <item x="32"/>
        <item x="33"/>
        <item x="34"/>
        <item x="35"/>
        <item x="36"/>
        <item x="37"/>
        <item x="38"/>
        <item x="39"/>
        <item x="40"/>
        <item x="41"/>
        <item x="42"/>
        <item x="43"/>
        <item x="44"/>
        <item x="45"/>
        <item x="46"/>
        <item x="47"/>
        <item x="48"/>
        <item x="49"/>
        <item x="50"/>
        <item x="51"/>
        <item x="52"/>
        <item x="53"/>
        <item x="54"/>
        <item x="55"/>
        <item x="56"/>
        <item x="57"/>
        <item x="58"/>
        <item x="59"/>
        <item x="60"/>
        <item x="61"/>
        <item x="62"/>
        <item x="63"/>
        <item x="64"/>
        <item x="65"/>
        <item x="66"/>
        <item x="67"/>
        <item x="68"/>
        <item x="69"/>
        <item x="70"/>
        <item x="71"/>
        <item x="72"/>
        <item x="73"/>
        <item x="74"/>
        <item x="75"/>
        <item x="76"/>
        <item x="77"/>
        <item x="78"/>
        <item x="79"/>
        <item x="80"/>
        <item x="81"/>
        <item x="82"/>
        <item x="83"/>
        <item x="84"/>
        <item x="85"/>
        <item x="86"/>
        <item x="87"/>
        <item x="88"/>
        <item x="89"/>
        <item x="90"/>
        <item x="91"/>
        <item x="92"/>
        <item x="93"/>
        <item x="94"/>
        <item x="95"/>
        <item x="96"/>
        <item x="97"/>
        <item x="98"/>
        <item x="99"/>
        <item x="100"/>
        <item x="101"/>
        <item x="102"/>
        <item x="103"/>
        <item x="104"/>
        <item x="105"/>
        <item x="106"/>
        <item x="107"/>
        <item x="108"/>
        <item x="109"/>
        <item x="110"/>
        <item x="111"/>
        <item x="112"/>
        <item x="113"/>
        <item x="114"/>
        <item x="115"/>
        <item x="116"/>
        <item x="117"/>
        <item x="118"/>
        <item x="119"/>
        <item x="120"/>
        <item x="121"/>
        <item x="122"/>
        <item x="123"/>
        <item x="124"/>
        <item x="125"/>
        <item x="126"/>
        <item x="127"/>
        <item x="128"/>
        <item x="129"/>
        <item x="130"/>
        <item x="131"/>
        <item x="132"/>
        <item x="133"/>
        <item x="134"/>
        <item x="135"/>
        <item x="136"/>
        <item x="137"/>
        <item x="138"/>
        <item x="139"/>
        <item x="140"/>
        <item x="141"/>
        <item x="142"/>
        <item x="143"/>
        <item x="144"/>
        <item x="145"/>
        <item x="146"/>
        <item x="147"/>
        <item x="148"/>
        <item x="149"/>
        <item x="150"/>
        <item x="151"/>
        <item x="152"/>
        <item x="153"/>
        <item x="154"/>
        <item x="155"/>
        <item x="156"/>
        <item x="157"/>
        <item x="158"/>
        <item x="159"/>
        <item x="160"/>
        <item x="161"/>
        <item x="162"/>
        <item x="163"/>
        <item x="164"/>
        <item x="165"/>
        <item x="166"/>
        <item x="167"/>
        <item x="168"/>
        <item x="169"/>
        <item x="170"/>
        <item x="171"/>
        <item x="172"/>
        <item x="173"/>
        <item x="174"/>
        <item x="175"/>
        <item x="176"/>
        <item x="177"/>
        <item x="178"/>
        <item x="179"/>
        <item x="180"/>
        <item x="181"/>
        <item x="182"/>
        <item x="183"/>
        <item x="184"/>
        <item x="185"/>
        <item x="186"/>
        <item x="187"/>
        <item x="188"/>
        <item x="189"/>
        <item x="190"/>
        <item x="191"/>
        <item x="192"/>
        <item x="193"/>
        <item x="194"/>
        <item x="195"/>
        <item x="196"/>
        <item x="197"/>
        <item x="198"/>
        <item x="199"/>
        <item x="200"/>
        <item x="201"/>
        <item x="202"/>
        <item x="203"/>
        <item x="204"/>
        <item x="205"/>
        <item x="206"/>
        <item x="207"/>
        <item x="208"/>
        <item x="209"/>
        <item x="210"/>
        <item x="211"/>
        <item x="212"/>
        <item x="213"/>
        <item x="214"/>
        <item x="215"/>
        <item x="216"/>
        <item x="217"/>
        <item x="218"/>
        <item x="219"/>
        <item x="220"/>
        <item x="221"/>
        <item x="222"/>
        <item x="223"/>
        <item x="224"/>
        <item x="225"/>
        <item x="226"/>
        <item x="227"/>
        <item x="228"/>
        <item x="229"/>
        <item x="230"/>
        <item x="231"/>
        <item x="232"/>
        <item x="233"/>
        <item x="234"/>
        <item x="235"/>
        <item x="236"/>
        <item x="237"/>
        <item x="238"/>
        <item x="239"/>
        <item x="240"/>
        <item x="241"/>
        <item x="242"/>
        <item x="243"/>
        <item x="244"/>
        <item x="245"/>
        <item x="246"/>
        <item x="247"/>
        <item x="248"/>
        <item x="249"/>
        <item x="250"/>
        <item x="251"/>
        <item x="252"/>
        <item x="253"/>
        <item x="254"/>
        <item x="255"/>
        <item x="256"/>
        <item x="257"/>
        <item x="258"/>
        <item x="259"/>
        <item x="260"/>
        <item x="261"/>
        <item x="262"/>
        <item x="263"/>
        <item x="264"/>
        <item x="265"/>
        <item x="266"/>
        <item x="267"/>
        <item x="268"/>
        <item x="269"/>
        <item x="270"/>
        <item x="271"/>
        <item x="272"/>
        <item x="273"/>
        <item x="274"/>
        <item x="275"/>
        <item x="276"/>
        <item x="277"/>
        <item x="278"/>
        <item x="279"/>
        <item x="280"/>
        <item x="281"/>
        <item x="282"/>
        <item x="283"/>
        <item x="284"/>
        <item x="285"/>
        <item x="286"/>
        <item x="287"/>
        <item x="288"/>
        <item x="289"/>
        <item x="290"/>
        <item x="291"/>
        <item x="292"/>
        <item x="293"/>
        <item x="294"/>
        <item x="295"/>
        <item x="296"/>
        <item x="297"/>
        <item x="298"/>
        <item x="299"/>
        <item x="300"/>
        <item x="301"/>
        <item x="302"/>
        <item x="303"/>
        <item x="304"/>
        <item x="305"/>
        <item x="306"/>
        <item x="307"/>
        <item x="308"/>
        <item x="309"/>
        <item x="310"/>
        <item x="311"/>
        <item x="312"/>
        <item x="313"/>
        <item x="314"/>
        <item x="315"/>
        <item x="316"/>
        <item x="317"/>
        <item x="318"/>
        <item x="319"/>
        <item x="320"/>
        <item x="321"/>
        <item x="322"/>
        <item x="323"/>
        <item x="324"/>
        <item x="325"/>
        <item x="326"/>
        <item x="327"/>
        <item x="328"/>
        <item x="329"/>
        <item x="330"/>
        <item x="331"/>
        <item x="332"/>
        <item x="333"/>
        <item x="334"/>
        <item x="335"/>
        <item x="336"/>
        <item x="337"/>
        <item x="338"/>
        <item x="339"/>
        <item x="340"/>
        <item x="341"/>
        <item x="342"/>
        <item x="343"/>
        <item x="344"/>
        <item x="345"/>
        <item x="346"/>
        <item x="347"/>
        <item x="348"/>
        <item x="349"/>
        <item x="350"/>
        <item x="351"/>
        <item x="352"/>
        <item x="353"/>
        <item x="354"/>
        <item x="355"/>
        <item x="356"/>
        <item x="357"/>
        <item x="358"/>
        <item x="359"/>
        <item x="360"/>
        <item x="361"/>
        <item x="362"/>
        <item x="363"/>
        <item x="364"/>
        <item x="365"/>
        <item x="366"/>
        <item x="0"/>
        <item x="367"/>
        <item t="default"/>
      </items>
    </pivotField>
    <pivotField numFmtId="164" showAll="0"/>
    <pivotField axis="axisPage" showAll="0">
      <items count="6">
        <item m="1" x="2"/>
        <item x="0"/>
        <item m="1" x="4"/>
        <item m="1" x="3"/>
        <item x="1"/>
        <item t="default"/>
      </items>
    </pivotField>
    <pivotField showAll="0"/>
    <pivotField showAll="0"/>
    <pivotField numFmtId="165" showAll="0"/>
    <pivotField numFmtId="165" showAll="0"/>
    <pivotField numFmtId="165" showAll="0"/>
    <pivotField numFmtId="22" showAll="0"/>
    <pivotField numFmtId="165" showAll="0"/>
    <pivotField numFmtId="165" showAll="0"/>
    <pivotField numFmtId="165" showAll="0"/>
    <pivotField numFmtId="166" showAll="0"/>
    <pivotField showAll="0"/>
    <pivotField numFmtId="166" showAll="0"/>
    <pivotField numFmtId="166" showAll="0"/>
    <pivotField axis="axisRow" numFmtId="14" showAll="0" sortType="ascending">
      <items count="16">
        <item x="0"/>
        <item x="1"/>
        <item x="2"/>
        <item x="3"/>
        <item x="4"/>
        <item x="5"/>
        <item x="6"/>
        <item x="7"/>
        <item x="8"/>
        <item x="9"/>
        <item x="10"/>
        <item x="11"/>
        <item x="12"/>
        <item x="13"/>
        <item x="14"/>
        <item t="default"/>
      </items>
    </pivotField>
    <pivotField axis="axisPage" showAll="0">
      <items count="12">
        <item m="1" x="9"/>
        <item m="1" x="4"/>
        <item m="1" x="10"/>
        <item m="1" x="5"/>
        <item m="1" x="8"/>
        <item m="1" x="7"/>
        <item m="1" x="3"/>
        <item m="1" x="6"/>
        <item x="0"/>
        <item x="2"/>
        <item x="1"/>
        <item t="default"/>
      </items>
    </pivotField>
    <pivotField numFmtId="174" showAll="0"/>
    <pivotField numFmtId="175" showAll="0"/>
    <pivotField showAll="0"/>
    <pivotField showAll="0"/>
    <pivotField numFmtId="167" showAll="0"/>
    <pivotField numFmtId="167" showAll="0"/>
    <pivotField showAll="0"/>
    <pivotField showAll="0"/>
    <pivotField numFmtId="166" showAll="0"/>
    <pivotField numFmtId="166" showAll="0"/>
    <pivotField numFmtId="22" showAll="0"/>
    <pivotField numFmtId="166" showAll="0"/>
    <pivotField numFmtId="166" showAll="0"/>
    <pivotField numFmtId="22" showAll="0"/>
    <pivotField numFmtId="43" showAll="0"/>
    <pivotField numFmtId="43" showAll="0"/>
    <pivotField showAll="0"/>
    <pivotField numFmtId="10" showAll="0"/>
    <pivotField showAll="0"/>
    <pivotField numFmtId="166" showAll="0"/>
    <pivotField numFmtId="166" showAll="0"/>
    <pivotField numFmtId="10" showAll="0"/>
    <pivotField numFmtId="167" showAll="0"/>
    <pivotField showAll="0"/>
    <pivotField showAll="0"/>
    <pivotField numFmtId="167" showAll="0"/>
    <pivotField dataField="1" showAll="0"/>
    <pivotField dataField="1" showAll="0"/>
    <pivotField dataField="1"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dragToRow="0" dragToCol="0" dragToPage="0" showAll="0" defaultSubtotal="0"/>
    <pivotField dragToRow="0" dragToCol="0" dragToPage="0" showAll="0" defaultSubtotal="0"/>
    <pivotField showAll="0">
      <items count="5">
        <item x="0"/>
        <item x="1"/>
        <item x="2"/>
        <item x="3"/>
        <item t="default"/>
      </items>
    </pivotField>
    <pivotField axis="axisPage" showAll="0">
      <items count="15">
        <item sd="0" x="0"/>
        <item sd="0" x="1"/>
        <item sd="0" x="2"/>
        <item sd="0" x="3"/>
        <item sd="0" x="4"/>
        <item sd="0" x="5"/>
        <item sd="0" x="6"/>
        <item sd="0" x="7"/>
        <item sd="0" x="8"/>
        <item sd="0" x="9"/>
        <item sd="0" x="10"/>
        <item sd="0" x="11"/>
        <item sd="0" x="12"/>
        <item sd="0" x="13"/>
        <item t="default"/>
      </items>
    </pivotField>
    <pivotField axis="axisPage" showAll="0">
      <items count="7">
        <item sd="0" x="1"/>
        <item sd="0" x="2"/>
        <item sd="0" x="3"/>
        <item sd="0" x="4"/>
        <item x="0"/>
        <item x="5"/>
        <item t="default"/>
      </items>
    </pivotField>
    <pivotField axis="axisPage" showAll="0">
      <items count="4">
        <item x="1"/>
        <item x="0"/>
        <item x="2"/>
        <item t="default"/>
      </items>
    </pivotField>
    <pivotField dragToRow="0" dragToCol="0" dragToPage="0" showAll="0" defaultSubtotal="0"/>
    <pivotField dragToRow="0" dragToCol="0" dragToPage="0" showAll="0" defaultSubtotal="0"/>
    <pivotField dragToRow="0" dragToCol="0" dragToPage="0" showAll="0" defaultSubtotal="0"/>
    <pivotField dragToRow="0" dragToCol="0" dragToPage="0" showAll="0" defaultSubtotal="0"/>
    <pivotField dragToRow="0" dragToCol="0" dragToPage="0" showAll="0" defaultSubtotal="0"/>
  </pivotFields>
  <rowFields count="1">
    <field x="16"/>
  </rowFields>
  <rowItems count="16">
    <i>
      <x/>
    </i>
    <i>
      <x v="1"/>
    </i>
    <i>
      <x v="2"/>
    </i>
    <i>
      <x v="3"/>
    </i>
    <i>
      <x v="4"/>
    </i>
    <i>
      <x v="5"/>
    </i>
    <i>
      <x v="6"/>
    </i>
    <i>
      <x v="7"/>
    </i>
    <i>
      <x v="8"/>
    </i>
    <i>
      <x v="9"/>
    </i>
    <i>
      <x v="10"/>
    </i>
    <i>
      <x v="11"/>
    </i>
    <i>
      <x v="12"/>
    </i>
    <i>
      <x v="13"/>
    </i>
    <i>
      <x v="14"/>
    </i>
    <i t="grand">
      <x/>
    </i>
  </rowItems>
  <colFields count="1">
    <field x="-2"/>
  </colFields>
  <colItems count="3">
    <i>
      <x/>
    </i>
    <i i="1">
      <x v="1"/>
    </i>
    <i i="2">
      <x v="2"/>
    </i>
  </colItems>
  <pageFields count="5">
    <pageField fld="2" hier="-1"/>
    <pageField fld="74" hier="-1"/>
    <pageField fld="73" hier="-1"/>
    <pageField fld="17" hier="-1"/>
    <pageField fld="72" hier="-1"/>
  </pageFields>
  <dataFields count="3">
    <dataField name="Somme de Conforme" fld="44" baseField="0" baseItem="0"/>
    <dataField name="Somme de Non conforme" fld="45" baseField="0" baseItem="0"/>
    <dataField name="Nombre de Conformité" fld="46" subtotal="count" baseField="0" baseItem="0"/>
  </dataFields>
  <chartFormats count="3">
    <chartFormat chart="7" format="10" series="1">
      <pivotArea type="data" outline="0" fieldPosition="0">
        <references count="1">
          <reference field="4294967294" count="1" selected="0">
            <x v="0"/>
          </reference>
        </references>
      </pivotArea>
    </chartFormat>
    <chartFormat chart="7" format="11" series="1">
      <pivotArea type="data" outline="0" fieldPosition="0">
        <references count="1">
          <reference field="4294967294" count="1" selected="0">
            <x v="1"/>
          </reference>
        </references>
      </pivotArea>
    </chartFormat>
    <chartFormat chart="7" format="13" series="1">
      <pivotArea type="data" outline="0" fieldPosition="0">
        <references count="1">
          <reference field="4294967294" count="1" selected="0">
            <x v="2"/>
          </reference>
        </references>
      </pivotArea>
    </chartFormat>
  </chart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6.xml><?xml version="1.0" encoding="utf-8"?>
<pivotTableDefinition xmlns="http://schemas.openxmlformats.org/spreadsheetml/2006/main" xmlns:mc="http://schemas.openxmlformats.org/markup-compatibility/2006" xmlns:xr="http://schemas.microsoft.com/office/spreadsheetml/2014/revision" mc:Ignorable="xr" xr:uid="{CE2B7365-D72F-42A6-8994-3492E610DA08}" name="Tableau croisé dynamique2" cacheId="10" applyNumberFormats="0" applyBorderFormats="0" applyFontFormats="0" applyPatternFormats="0" applyAlignmentFormats="0" applyWidthHeightFormats="1" dataCaption="Valeurs" updatedVersion="6" minRefreshableVersion="3" useAutoFormatting="1" itemPrintTitles="1" createdVersion="6" indent="0" outline="1" outlineData="1" multipleFieldFilters="0" chartFormat="16">
  <location ref="A7:C23" firstHeaderRow="0" firstDataRow="1" firstDataCol="1" rowPageCount="5" colPageCount="1"/>
  <pivotFields count="80">
    <pivotField numFmtId="21" showAll="0">
      <items count="369">
        <item x="1"/>
        <item x="2"/>
        <item x="3"/>
        <item x="4"/>
        <item x="5"/>
        <item x="6"/>
        <item x="7"/>
        <item x="8"/>
        <item x="9"/>
        <item x="10"/>
        <item x="11"/>
        <item x="12"/>
        <item x="13"/>
        <item x="14"/>
        <item x="15"/>
        <item x="16"/>
        <item x="17"/>
        <item x="18"/>
        <item x="19"/>
        <item x="20"/>
        <item x="21"/>
        <item x="22"/>
        <item x="23"/>
        <item x="24"/>
        <item x="25"/>
        <item x="26"/>
        <item x="27"/>
        <item x="28"/>
        <item x="29"/>
        <item x="30"/>
        <item x="31"/>
        <item x="32"/>
        <item x="33"/>
        <item x="34"/>
        <item x="35"/>
        <item x="36"/>
        <item x="37"/>
        <item x="38"/>
        <item x="39"/>
        <item x="40"/>
        <item x="41"/>
        <item x="42"/>
        <item x="43"/>
        <item x="44"/>
        <item x="45"/>
        <item x="46"/>
        <item x="47"/>
        <item x="48"/>
        <item x="49"/>
        <item x="50"/>
        <item x="51"/>
        <item x="52"/>
        <item x="53"/>
        <item x="54"/>
        <item x="55"/>
        <item x="56"/>
        <item x="57"/>
        <item x="58"/>
        <item x="59"/>
        <item x="60"/>
        <item x="61"/>
        <item x="62"/>
        <item x="63"/>
        <item x="64"/>
        <item x="65"/>
        <item x="66"/>
        <item x="67"/>
        <item x="68"/>
        <item x="69"/>
        <item x="70"/>
        <item x="71"/>
        <item x="72"/>
        <item x="73"/>
        <item x="74"/>
        <item x="75"/>
        <item x="76"/>
        <item x="77"/>
        <item x="78"/>
        <item x="79"/>
        <item x="80"/>
        <item x="81"/>
        <item x="82"/>
        <item x="83"/>
        <item x="84"/>
        <item x="85"/>
        <item x="86"/>
        <item x="87"/>
        <item x="88"/>
        <item x="89"/>
        <item x="90"/>
        <item x="91"/>
        <item x="92"/>
        <item x="93"/>
        <item x="94"/>
        <item x="95"/>
        <item x="96"/>
        <item x="97"/>
        <item x="98"/>
        <item x="99"/>
        <item x="100"/>
        <item x="101"/>
        <item x="102"/>
        <item x="103"/>
        <item x="104"/>
        <item x="105"/>
        <item x="106"/>
        <item x="107"/>
        <item x="108"/>
        <item x="109"/>
        <item x="110"/>
        <item x="111"/>
        <item x="112"/>
        <item x="113"/>
        <item x="114"/>
        <item x="115"/>
        <item x="116"/>
        <item x="117"/>
        <item x="118"/>
        <item x="119"/>
        <item x="120"/>
        <item x="121"/>
        <item x="122"/>
        <item x="123"/>
        <item x="124"/>
        <item x="125"/>
        <item x="126"/>
        <item x="127"/>
        <item x="128"/>
        <item x="129"/>
        <item x="130"/>
        <item x="131"/>
        <item x="132"/>
        <item x="133"/>
        <item x="134"/>
        <item x="135"/>
        <item x="136"/>
        <item x="137"/>
        <item x="138"/>
        <item x="139"/>
        <item x="140"/>
        <item x="141"/>
        <item x="142"/>
        <item x="143"/>
        <item x="144"/>
        <item x="145"/>
        <item x="146"/>
        <item x="147"/>
        <item x="148"/>
        <item x="149"/>
        <item x="150"/>
        <item x="151"/>
        <item x="152"/>
        <item x="153"/>
        <item x="154"/>
        <item x="155"/>
        <item x="156"/>
        <item x="157"/>
        <item x="158"/>
        <item x="159"/>
        <item x="160"/>
        <item x="161"/>
        <item x="162"/>
        <item x="163"/>
        <item x="164"/>
        <item x="165"/>
        <item x="166"/>
        <item x="167"/>
        <item x="168"/>
        <item x="169"/>
        <item x="170"/>
        <item x="171"/>
        <item x="172"/>
        <item x="173"/>
        <item x="174"/>
        <item x="175"/>
        <item x="176"/>
        <item x="177"/>
        <item x="178"/>
        <item x="179"/>
        <item x="180"/>
        <item x="181"/>
        <item x="182"/>
        <item x="183"/>
        <item x="184"/>
        <item x="185"/>
        <item x="186"/>
        <item x="187"/>
        <item x="188"/>
        <item x="189"/>
        <item x="190"/>
        <item x="191"/>
        <item x="192"/>
        <item x="193"/>
        <item x="194"/>
        <item x="195"/>
        <item x="196"/>
        <item x="197"/>
        <item x="198"/>
        <item x="199"/>
        <item x="200"/>
        <item x="201"/>
        <item x="202"/>
        <item x="203"/>
        <item x="204"/>
        <item x="205"/>
        <item x="206"/>
        <item x="207"/>
        <item x="208"/>
        <item x="209"/>
        <item x="210"/>
        <item x="211"/>
        <item x="212"/>
        <item x="213"/>
        <item x="214"/>
        <item x="215"/>
        <item x="216"/>
        <item x="217"/>
        <item x="218"/>
        <item x="219"/>
        <item x="220"/>
        <item x="221"/>
        <item x="222"/>
        <item x="223"/>
        <item x="224"/>
        <item x="225"/>
        <item x="226"/>
        <item x="227"/>
        <item x="228"/>
        <item x="229"/>
        <item x="230"/>
        <item x="231"/>
        <item x="232"/>
        <item x="233"/>
        <item x="234"/>
        <item x="235"/>
        <item x="236"/>
        <item x="237"/>
        <item x="238"/>
        <item x="239"/>
        <item x="240"/>
        <item x="241"/>
        <item x="242"/>
        <item x="243"/>
        <item x="244"/>
        <item x="245"/>
        <item x="246"/>
        <item x="247"/>
        <item x="248"/>
        <item x="249"/>
        <item x="250"/>
        <item x="251"/>
        <item x="252"/>
        <item x="253"/>
        <item x="254"/>
        <item x="255"/>
        <item x="256"/>
        <item x="257"/>
        <item x="258"/>
        <item x="259"/>
        <item x="260"/>
        <item x="261"/>
        <item x="262"/>
        <item x="263"/>
        <item x="264"/>
        <item x="265"/>
        <item x="266"/>
        <item x="267"/>
        <item x="268"/>
        <item x="269"/>
        <item x="270"/>
        <item x="271"/>
        <item x="272"/>
        <item x="273"/>
        <item x="274"/>
        <item x="275"/>
        <item x="276"/>
        <item x="277"/>
        <item x="278"/>
        <item x="279"/>
        <item x="280"/>
        <item x="281"/>
        <item x="282"/>
        <item x="283"/>
        <item x="284"/>
        <item x="285"/>
        <item x="286"/>
        <item x="287"/>
        <item x="288"/>
        <item x="289"/>
        <item x="290"/>
        <item x="291"/>
        <item x="292"/>
        <item x="293"/>
        <item x="294"/>
        <item x="295"/>
        <item x="296"/>
        <item x="297"/>
        <item x="298"/>
        <item x="299"/>
        <item x="300"/>
        <item x="301"/>
        <item x="302"/>
        <item x="303"/>
        <item x="304"/>
        <item x="305"/>
        <item x="306"/>
        <item x="307"/>
        <item x="308"/>
        <item x="309"/>
        <item x="310"/>
        <item x="311"/>
        <item x="312"/>
        <item x="313"/>
        <item x="314"/>
        <item x="315"/>
        <item x="316"/>
        <item x="317"/>
        <item x="318"/>
        <item x="319"/>
        <item x="320"/>
        <item x="321"/>
        <item x="322"/>
        <item x="323"/>
        <item x="324"/>
        <item x="325"/>
        <item x="326"/>
        <item x="327"/>
        <item x="328"/>
        <item x="329"/>
        <item x="330"/>
        <item x="331"/>
        <item x="332"/>
        <item x="333"/>
        <item x="334"/>
        <item x="335"/>
        <item x="336"/>
        <item x="337"/>
        <item x="338"/>
        <item x="339"/>
        <item x="340"/>
        <item x="341"/>
        <item x="342"/>
        <item x="343"/>
        <item x="344"/>
        <item x="345"/>
        <item x="346"/>
        <item x="347"/>
        <item x="348"/>
        <item x="349"/>
        <item x="350"/>
        <item x="351"/>
        <item x="352"/>
        <item x="353"/>
        <item x="354"/>
        <item x="355"/>
        <item x="356"/>
        <item x="357"/>
        <item x="358"/>
        <item x="359"/>
        <item x="360"/>
        <item x="361"/>
        <item x="362"/>
        <item x="363"/>
        <item x="364"/>
        <item x="365"/>
        <item x="366"/>
        <item x="0"/>
        <item x="367"/>
        <item t="default"/>
      </items>
    </pivotField>
    <pivotField numFmtId="164" showAll="0"/>
    <pivotField axis="axisPage" showAll="0">
      <items count="6">
        <item m="1" x="2"/>
        <item x="0"/>
        <item m="1" x="4"/>
        <item m="1" x="3"/>
        <item x="1"/>
        <item t="default"/>
      </items>
    </pivotField>
    <pivotField showAll="0"/>
    <pivotField showAll="0"/>
    <pivotField numFmtId="165" showAll="0"/>
    <pivotField numFmtId="165" showAll="0"/>
    <pivotField numFmtId="165" showAll="0"/>
    <pivotField numFmtId="22" showAll="0"/>
    <pivotField numFmtId="165" showAll="0"/>
    <pivotField numFmtId="165" showAll="0"/>
    <pivotField numFmtId="165" showAll="0"/>
    <pivotField numFmtId="166" showAll="0"/>
    <pivotField showAll="0"/>
    <pivotField numFmtId="166" showAll="0"/>
    <pivotField numFmtId="166" showAll="0"/>
    <pivotField axis="axisRow" numFmtId="14" showAll="0" sortType="ascending">
      <items count="16">
        <item x="0"/>
        <item x="1"/>
        <item x="2"/>
        <item x="3"/>
        <item x="4"/>
        <item x="5"/>
        <item x="6"/>
        <item x="7"/>
        <item x="8"/>
        <item x="9"/>
        <item x="10"/>
        <item x="11"/>
        <item x="12"/>
        <item x="13"/>
        <item x="14"/>
        <item t="default"/>
      </items>
    </pivotField>
    <pivotField axis="axisPage" showAll="0">
      <items count="12">
        <item m="1" x="9"/>
        <item m="1" x="4"/>
        <item m="1" x="10"/>
        <item m="1" x="5"/>
        <item m="1" x="8"/>
        <item m="1" x="7"/>
        <item m="1" x="3"/>
        <item m="1" x="6"/>
        <item x="0"/>
        <item x="2"/>
        <item x="1"/>
        <item t="default"/>
      </items>
    </pivotField>
    <pivotField numFmtId="174" showAll="0"/>
    <pivotField numFmtId="175" showAll="0"/>
    <pivotField showAll="0"/>
    <pivotField showAll="0"/>
    <pivotField numFmtId="167" showAll="0"/>
    <pivotField numFmtId="167" showAll="0"/>
    <pivotField showAll="0"/>
    <pivotField showAll="0"/>
    <pivotField numFmtId="166" showAll="0"/>
    <pivotField numFmtId="166" showAll="0"/>
    <pivotField numFmtId="22" showAll="0"/>
    <pivotField numFmtId="166" showAll="0"/>
    <pivotField numFmtId="166" showAll="0"/>
    <pivotField numFmtId="22" showAll="0"/>
    <pivotField numFmtId="43" showAll="0"/>
    <pivotField numFmtId="43" showAll="0"/>
    <pivotField showAll="0"/>
    <pivotField numFmtId="10" showAll="0"/>
    <pivotField showAll="0"/>
    <pivotField numFmtId="166" showAll="0"/>
    <pivotField numFmtId="166" showAll="0"/>
    <pivotField numFmtId="10" showAll="0"/>
    <pivotField numFmtId="167" showAll="0"/>
    <pivotField showAll="0"/>
    <pivotField showAll="0"/>
    <pivotField numFmtId="167"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dataField="1" dragToRow="0" dragToCol="0" dragToPage="0" showAll="0" defaultSubtotal="0"/>
    <pivotField dataField="1" dragToRow="0" dragToCol="0" dragToPage="0" showAll="0" defaultSubtotal="0"/>
    <pivotField showAll="0">
      <items count="5">
        <item x="0"/>
        <item x="1"/>
        <item x="2"/>
        <item x="3"/>
        <item t="default"/>
      </items>
    </pivotField>
    <pivotField axis="axisPage" showAll="0">
      <items count="15">
        <item x="0"/>
        <item x="1"/>
        <item x="2"/>
        <item x="3"/>
        <item x="4"/>
        <item x="5"/>
        <item x="6"/>
        <item x="7"/>
        <item x="8"/>
        <item x="9"/>
        <item x="10"/>
        <item x="11"/>
        <item x="12"/>
        <item x="13"/>
        <item t="default"/>
      </items>
    </pivotField>
    <pivotField axis="axisPage" showAll="0">
      <items count="7">
        <item x="1"/>
        <item x="2"/>
        <item x="3"/>
        <item x="4"/>
        <item x="0"/>
        <item x="5"/>
        <item t="default"/>
      </items>
    </pivotField>
    <pivotField axis="axisPage" showAll="0">
      <items count="4">
        <item x="1"/>
        <item x="0"/>
        <item x="2"/>
        <item t="default"/>
      </items>
    </pivotField>
    <pivotField dragToRow="0" dragToCol="0" dragToPage="0" showAll="0" defaultSubtotal="0"/>
    <pivotField dragToRow="0" dragToCol="0" dragToPage="0" showAll="0" defaultSubtotal="0"/>
    <pivotField dragToRow="0" dragToCol="0" dragToPage="0" showAll="0" defaultSubtotal="0"/>
    <pivotField dragToRow="0" dragToCol="0" dragToPage="0" showAll="0" defaultSubtotal="0"/>
    <pivotField dragToRow="0" dragToCol="0" dragToPage="0" showAll="0" defaultSubtotal="0"/>
  </pivotFields>
  <rowFields count="1">
    <field x="16"/>
  </rowFields>
  <rowItems count="16">
    <i>
      <x/>
    </i>
    <i>
      <x v="1"/>
    </i>
    <i>
      <x v="2"/>
    </i>
    <i>
      <x v="3"/>
    </i>
    <i>
      <x v="4"/>
    </i>
    <i>
      <x v="5"/>
    </i>
    <i>
      <x v="6"/>
    </i>
    <i>
      <x v="7"/>
    </i>
    <i>
      <x v="8"/>
    </i>
    <i>
      <x v="9"/>
    </i>
    <i>
      <x v="10"/>
    </i>
    <i>
      <x v="11"/>
    </i>
    <i>
      <x v="12"/>
    </i>
    <i>
      <x v="13"/>
    </i>
    <i>
      <x v="14"/>
    </i>
    <i t="grand">
      <x/>
    </i>
  </rowItems>
  <colFields count="1">
    <field x="-2"/>
  </colFields>
  <colItems count="2">
    <i>
      <x/>
    </i>
    <i i="1">
      <x v="1"/>
    </i>
  </colItems>
  <pageFields count="5">
    <pageField fld="74" hier="-1"/>
    <pageField fld="73" hier="-1"/>
    <pageField fld="72" hier="-1"/>
    <pageField fld="17" hier="-1"/>
    <pageField fld="2" hier="-1"/>
  </pageFields>
  <dataFields count="2">
    <dataField name="Somme de points_+" fld="69" baseField="0" baseItem="0" numFmtId="167"/>
    <dataField name="Somme de points_-" fld="70" baseField="0" baseItem="0" numFmtId="167"/>
  </dataFields>
  <chartFormats count="4">
    <chartFormat chart="2" format="8" series="1">
      <pivotArea type="data" outline="0" fieldPosition="0">
        <references count="1">
          <reference field="4294967294" count="1" selected="0">
            <x v="0"/>
          </reference>
        </references>
      </pivotArea>
    </chartFormat>
    <chartFormat chart="2" format="9" series="1">
      <pivotArea type="data" outline="0" fieldPosition="0">
        <references count="1">
          <reference field="4294967294" count="1" selected="0">
            <x v="1"/>
          </reference>
        </references>
      </pivotArea>
    </chartFormat>
    <chartFormat chart="13" format="4" series="1">
      <pivotArea type="data" outline="0" fieldPosition="0">
        <references count="1">
          <reference field="4294967294" count="1" selected="0">
            <x v="0"/>
          </reference>
        </references>
      </pivotArea>
    </chartFormat>
    <chartFormat chart="13" format="5" series="1">
      <pivotArea type="data" outline="0" fieldPosition="0">
        <references count="1">
          <reference field="4294967294" count="1" selected="0">
            <x v="1"/>
          </reference>
        </references>
      </pivotArea>
    </chartFormat>
  </chart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7.xml><?xml version="1.0" encoding="utf-8"?>
<pivotTableDefinition xmlns="http://schemas.openxmlformats.org/spreadsheetml/2006/main" xmlns:mc="http://schemas.openxmlformats.org/markup-compatibility/2006" xmlns:xr="http://schemas.microsoft.com/office/spreadsheetml/2014/revision" mc:Ignorable="xr" xr:uid="{F8E00F84-EE08-4AA5-B3AF-139D4C3DABFF}" name="Tableau croisé dynamique2" cacheId="10" applyNumberFormats="0" applyBorderFormats="0" applyFontFormats="0" applyPatternFormats="0" applyAlignmentFormats="0" applyWidthHeightFormats="1" dataCaption="Valeurs" updatedVersion="6" minRefreshableVersion="3" useAutoFormatting="1" itemPrintTitles="1" createdVersion="6" indent="0" outline="1" outlineData="1" multipleFieldFilters="0" chartFormat="13">
  <location ref="A7:B23" firstHeaderRow="1" firstDataRow="1" firstDataCol="1" rowPageCount="5" colPageCount="1"/>
  <pivotFields count="80">
    <pivotField numFmtId="22" showAll="0">
      <items count="369">
        <item x="1"/>
        <item x="2"/>
        <item x="3"/>
        <item x="4"/>
        <item x="5"/>
        <item x="6"/>
        <item x="7"/>
        <item x="8"/>
        <item x="9"/>
        <item x="10"/>
        <item x="11"/>
        <item x="12"/>
        <item x="13"/>
        <item x="14"/>
        <item x="15"/>
        <item x="16"/>
        <item x="17"/>
        <item x="18"/>
        <item x="19"/>
        <item x="20"/>
        <item x="21"/>
        <item x="22"/>
        <item x="23"/>
        <item x="24"/>
        <item x="25"/>
        <item x="26"/>
        <item x="27"/>
        <item x="28"/>
        <item x="29"/>
        <item x="30"/>
        <item x="31"/>
        <item x="32"/>
        <item x="33"/>
        <item x="34"/>
        <item x="35"/>
        <item x="36"/>
        <item x="37"/>
        <item x="38"/>
        <item x="39"/>
        <item x="40"/>
        <item x="41"/>
        <item x="42"/>
        <item x="43"/>
        <item x="44"/>
        <item x="45"/>
        <item x="46"/>
        <item x="47"/>
        <item x="48"/>
        <item x="49"/>
        <item x="50"/>
        <item x="51"/>
        <item x="52"/>
        <item x="53"/>
        <item x="54"/>
        <item x="55"/>
        <item x="56"/>
        <item x="57"/>
        <item x="58"/>
        <item x="59"/>
        <item x="60"/>
        <item x="61"/>
        <item x="62"/>
        <item x="63"/>
        <item x="64"/>
        <item x="65"/>
        <item x="66"/>
        <item x="67"/>
        <item x="68"/>
        <item x="69"/>
        <item x="70"/>
        <item x="71"/>
        <item x="72"/>
        <item x="73"/>
        <item x="74"/>
        <item x="75"/>
        <item x="76"/>
        <item x="77"/>
        <item x="78"/>
        <item x="79"/>
        <item x="80"/>
        <item x="81"/>
        <item x="82"/>
        <item x="83"/>
        <item x="84"/>
        <item x="85"/>
        <item x="86"/>
        <item x="87"/>
        <item x="88"/>
        <item x="89"/>
        <item x="90"/>
        <item x="91"/>
        <item x="92"/>
        <item x="93"/>
        <item x="94"/>
        <item x="95"/>
        <item x="96"/>
        <item x="97"/>
        <item x="98"/>
        <item x="99"/>
        <item x="100"/>
        <item x="101"/>
        <item x="102"/>
        <item x="103"/>
        <item x="104"/>
        <item x="105"/>
        <item x="106"/>
        <item x="107"/>
        <item x="108"/>
        <item x="109"/>
        <item x="110"/>
        <item x="111"/>
        <item x="112"/>
        <item x="113"/>
        <item x="114"/>
        <item x="115"/>
        <item x="116"/>
        <item x="117"/>
        <item x="118"/>
        <item x="119"/>
        <item x="120"/>
        <item x="121"/>
        <item x="122"/>
        <item x="123"/>
        <item x="124"/>
        <item x="125"/>
        <item x="126"/>
        <item x="127"/>
        <item x="128"/>
        <item x="129"/>
        <item x="130"/>
        <item x="131"/>
        <item x="132"/>
        <item x="133"/>
        <item x="134"/>
        <item x="135"/>
        <item x="136"/>
        <item x="137"/>
        <item x="138"/>
        <item x="139"/>
        <item x="140"/>
        <item x="141"/>
        <item x="142"/>
        <item x="143"/>
        <item x="144"/>
        <item x="145"/>
        <item x="146"/>
        <item x="147"/>
        <item x="148"/>
        <item x="149"/>
        <item x="150"/>
        <item x="151"/>
        <item x="152"/>
        <item x="153"/>
        <item x="154"/>
        <item x="155"/>
        <item x="156"/>
        <item x="157"/>
        <item x="158"/>
        <item x="159"/>
        <item x="160"/>
        <item x="161"/>
        <item x="162"/>
        <item x="163"/>
        <item x="164"/>
        <item x="165"/>
        <item x="166"/>
        <item x="167"/>
        <item x="168"/>
        <item x="169"/>
        <item x="170"/>
        <item x="171"/>
        <item x="172"/>
        <item x="173"/>
        <item x="174"/>
        <item x="175"/>
        <item x="176"/>
        <item x="177"/>
        <item x="178"/>
        <item x="179"/>
        <item x="180"/>
        <item x="181"/>
        <item x="182"/>
        <item x="183"/>
        <item x="184"/>
        <item x="185"/>
        <item x="186"/>
        <item x="187"/>
        <item x="188"/>
        <item x="189"/>
        <item x="190"/>
        <item x="191"/>
        <item x="192"/>
        <item x="193"/>
        <item x="194"/>
        <item x="195"/>
        <item x="196"/>
        <item x="197"/>
        <item x="198"/>
        <item x="199"/>
        <item x="200"/>
        <item x="201"/>
        <item x="202"/>
        <item x="203"/>
        <item x="204"/>
        <item x="205"/>
        <item x="206"/>
        <item x="207"/>
        <item x="208"/>
        <item x="209"/>
        <item x="210"/>
        <item x="211"/>
        <item x="212"/>
        <item x="213"/>
        <item x="214"/>
        <item x="215"/>
        <item x="216"/>
        <item x="217"/>
        <item x="218"/>
        <item x="219"/>
        <item x="220"/>
        <item x="221"/>
        <item x="222"/>
        <item x="223"/>
        <item x="224"/>
        <item x="225"/>
        <item x="226"/>
        <item x="227"/>
        <item x="228"/>
        <item x="229"/>
        <item x="230"/>
        <item x="231"/>
        <item x="232"/>
        <item x="233"/>
        <item x="234"/>
        <item x="235"/>
        <item x="236"/>
        <item x="237"/>
        <item x="238"/>
        <item x="239"/>
        <item x="240"/>
        <item x="241"/>
        <item x="242"/>
        <item x="243"/>
        <item x="244"/>
        <item x="245"/>
        <item x="246"/>
        <item x="247"/>
        <item x="248"/>
        <item x="249"/>
        <item x="250"/>
        <item x="251"/>
        <item x="252"/>
        <item x="253"/>
        <item x="254"/>
        <item x="255"/>
        <item x="256"/>
        <item x="257"/>
        <item x="258"/>
        <item x="259"/>
        <item x="260"/>
        <item x="261"/>
        <item x="262"/>
        <item x="263"/>
        <item x="264"/>
        <item x="265"/>
        <item x="266"/>
        <item x="267"/>
        <item x="268"/>
        <item x="269"/>
        <item x="270"/>
        <item x="271"/>
        <item x="272"/>
        <item x="273"/>
        <item x="274"/>
        <item x="275"/>
        <item x="276"/>
        <item x="277"/>
        <item x="278"/>
        <item x="279"/>
        <item x="280"/>
        <item x="281"/>
        <item x="282"/>
        <item x="283"/>
        <item x="284"/>
        <item x="285"/>
        <item x="286"/>
        <item x="287"/>
        <item x="288"/>
        <item x="289"/>
        <item x="290"/>
        <item x="291"/>
        <item x="292"/>
        <item x="293"/>
        <item x="294"/>
        <item x="295"/>
        <item x="296"/>
        <item x="297"/>
        <item x="298"/>
        <item x="299"/>
        <item x="300"/>
        <item x="301"/>
        <item x="302"/>
        <item x="303"/>
        <item x="304"/>
        <item x="305"/>
        <item x="306"/>
        <item x="307"/>
        <item x="308"/>
        <item x="309"/>
        <item x="310"/>
        <item x="311"/>
        <item x="312"/>
        <item x="313"/>
        <item x="314"/>
        <item x="315"/>
        <item x="316"/>
        <item x="317"/>
        <item x="318"/>
        <item x="319"/>
        <item x="320"/>
        <item x="321"/>
        <item x="322"/>
        <item x="323"/>
        <item x="324"/>
        <item x="325"/>
        <item x="326"/>
        <item x="327"/>
        <item x="328"/>
        <item x="329"/>
        <item x="330"/>
        <item x="331"/>
        <item x="332"/>
        <item x="333"/>
        <item x="334"/>
        <item x="335"/>
        <item x="336"/>
        <item x="337"/>
        <item x="338"/>
        <item x="339"/>
        <item x="340"/>
        <item x="341"/>
        <item x="342"/>
        <item x="343"/>
        <item x="344"/>
        <item x="345"/>
        <item x="346"/>
        <item x="347"/>
        <item x="348"/>
        <item x="349"/>
        <item x="350"/>
        <item x="351"/>
        <item x="352"/>
        <item x="353"/>
        <item x="354"/>
        <item x="355"/>
        <item x="356"/>
        <item x="357"/>
        <item x="358"/>
        <item x="359"/>
        <item x="360"/>
        <item x="361"/>
        <item x="362"/>
        <item x="363"/>
        <item x="364"/>
        <item x="365"/>
        <item x="366"/>
        <item x="0"/>
        <item x="367"/>
        <item t="default"/>
      </items>
    </pivotField>
    <pivotField numFmtId="164" showAll="0"/>
    <pivotField axis="axisPage" showAll="0">
      <items count="6">
        <item m="1" x="2"/>
        <item x="0"/>
        <item m="1" x="4"/>
        <item m="1" x="3"/>
        <item x="1"/>
        <item t="default"/>
      </items>
    </pivotField>
    <pivotField showAll="0"/>
    <pivotField showAll="0"/>
    <pivotField numFmtId="165" showAll="0"/>
    <pivotField numFmtId="165" showAll="0"/>
    <pivotField numFmtId="165" showAll="0"/>
    <pivotField numFmtId="22" showAll="0"/>
    <pivotField numFmtId="165" showAll="0"/>
    <pivotField numFmtId="165" showAll="0"/>
    <pivotField numFmtId="165" showAll="0"/>
    <pivotField numFmtId="166" showAll="0"/>
    <pivotField showAll="0"/>
    <pivotField numFmtId="166" showAll="0"/>
    <pivotField numFmtId="166" showAll="0"/>
    <pivotField axis="axisRow" numFmtId="14" showAll="0" sortType="ascending">
      <items count="16">
        <item x="0"/>
        <item x="1"/>
        <item x="2"/>
        <item x="3"/>
        <item x="4"/>
        <item x="5"/>
        <item x="6"/>
        <item x="7"/>
        <item x="8"/>
        <item x="9"/>
        <item x="10"/>
        <item x="11"/>
        <item x="12"/>
        <item x="13"/>
        <item x="14"/>
        <item t="default"/>
      </items>
    </pivotField>
    <pivotField axis="axisPage" showAll="0">
      <items count="12">
        <item m="1" x="9"/>
        <item m="1" x="4"/>
        <item m="1" x="10"/>
        <item m="1" x="5"/>
        <item m="1" x="8"/>
        <item m="1" x="7"/>
        <item m="1" x="3"/>
        <item m="1" x="6"/>
        <item x="0"/>
        <item x="2"/>
        <item x="1"/>
        <item t="default"/>
      </items>
    </pivotField>
    <pivotField numFmtId="174" showAll="0"/>
    <pivotField numFmtId="175" showAll="0"/>
    <pivotField showAll="0"/>
    <pivotField showAll="0"/>
    <pivotField numFmtId="167" showAll="0"/>
    <pivotField numFmtId="167" showAll="0"/>
    <pivotField showAll="0"/>
    <pivotField showAll="0"/>
    <pivotField numFmtId="166" showAll="0"/>
    <pivotField numFmtId="166" showAll="0"/>
    <pivotField numFmtId="22" showAll="0"/>
    <pivotField numFmtId="166" showAll="0"/>
    <pivotField numFmtId="166" showAll="0"/>
    <pivotField numFmtId="22" showAll="0"/>
    <pivotField numFmtId="43" showAll="0"/>
    <pivotField numFmtId="43" showAll="0"/>
    <pivotField showAll="0"/>
    <pivotField numFmtId="10" showAll="0"/>
    <pivotField showAll="0"/>
    <pivotField numFmtId="166" showAll="0"/>
    <pivotField numFmtId="166" showAll="0"/>
    <pivotField dataField="1" numFmtId="10" showAll="0"/>
    <pivotField numFmtId="167" showAll="0"/>
    <pivotField showAll="0"/>
    <pivotField showAll="0"/>
    <pivotField numFmtId="167"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dragToRow="0" dragToCol="0" dragToPage="0" showAll="0" defaultSubtotal="0"/>
    <pivotField dragToRow="0" dragToCol="0" dragToPage="0" showAll="0" defaultSubtotal="0"/>
    <pivotField showAll="0">
      <items count="5">
        <item x="0"/>
        <item x="1"/>
        <item x="2"/>
        <item x="3"/>
        <item t="default"/>
      </items>
    </pivotField>
    <pivotField axis="axisPage" showAll="0">
      <items count="15">
        <item sd="0" x="0"/>
        <item sd="0" x="1"/>
        <item sd="0" x="2"/>
        <item sd="0" x="3"/>
        <item sd="0" x="4"/>
        <item sd="0" x="5"/>
        <item sd="0" x="6"/>
        <item sd="0" x="7"/>
        <item sd="0" x="8"/>
        <item sd="0" x="9"/>
        <item sd="0" x="10"/>
        <item sd="0" x="11"/>
        <item sd="0" x="12"/>
        <item sd="0" x="13"/>
        <item t="default"/>
      </items>
    </pivotField>
    <pivotField axis="axisPage" showAll="0">
      <items count="7">
        <item sd="0" x="1"/>
        <item sd="0" x="2"/>
        <item sd="0" x="3"/>
        <item sd="0" x="4"/>
        <item x="0"/>
        <item x="5"/>
        <item t="default"/>
      </items>
    </pivotField>
    <pivotField axis="axisPage" showAll="0">
      <items count="4">
        <item sd="0" x="1"/>
        <item x="0"/>
        <item x="2"/>
        <item t="default"/>
      </items>
    </pivotField>
    <pivotField dragToRow="0" dragToCol="0" dragToPage="0" showAll="0" defaultSubtotal="0"/>
    <pivotField dragToRow="0" dragToCol="0" dragToPage="0" showAll="0" defaultSubtotal="0"/>
    <pivotField dragToRow="0" dragToCol="0" dragToPage="0" showAll="0" defaultSubtotal="0"/>
    <pivotField dragToRow="0" dragToCol="0" dragToPage="0" showAll="0" defaultSubtotal="0"/>
    <pivotField dragToRow="0" dragToCol="0" dragToPage="0" showAll="0" defaultSubtotal="0"/>
  </pivotFields>
  <rowFields count="1">
    <field x="16"/>
  </rowFields>
  <rowItems count="16">
    <i>
      <x/>
    </i>
    <i>
      <x v="1"/>
    </i>
    <i>
      <x v="2"/>
    </i>
    <i>
      <x v="3"/>
    </i>
    <i>
      <x v="4"/>
    </i>
    <i>
      <x v="5"/>
    </i>
    <i>
      <x v="6"/>
    </i>
    <i>
      <x v="7"/>
    </i>
    <i>
      <x v="8"/>
    </i>
    <i>
      <x v="9"/>
    </i>
    <i>
      <x v="10"/>
    </i>
    <i>
      <x v="11"/>
    </i>
    <i>
      <x v="12"/>
    </i>
    <i>
      <x v="13"/>
    </i>
    <i>
      <x v="14"/>
    </i>
    <i t="grand">
      <x/>
    </i>
  </rowItems>
  <colItems count="1">
    <i/>
  </colItems>
  <pageFields count="5">
    <pageField fld="74" hier="-1"/>
    <pageField fld="73" hier="-1"/>
    <pageField fld="72" hier="-1"/>
    <pageField fld="2" hier="-1"/>
    <pageField fld="17" hier="-1"/>
  </pageFields>
  <dataFields count="1">
    <dataField name="Min. de Drawdown" fld="39" subtotal="min" baseField="15" baseItem="2" numFmtId="10"/>
  </dataFields>
  <chartFormats count="1">
    <chartFormat chart="8" format="6" series="1">
      <pivotArea type="data" outline="0" fieldPosition="0">
        <references count="1">
          <reference field="4294967294" count="1" selected="0">
            <x v="0"/>
          </reference>
        </references>
      </pivotArea>
    </chartFormat>
  </chart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8.xml><?xml version="1.0" encoding="utf-8"?>
<pivotTableDefinition xmlns="http://schemas.openxmlformats.org/spreadsheetml/2006/main" xmlns:mc="http://schemas.openxmlformats.org/markup-compatibility/2006" xmlns:xr="http://schemas.microsoft.com/office/spreadsheetml/2014/revision" mc:Ignorable="xr" xr:uid="{F70B0DA5-7CE9-4BA0-B3A3-D215FA37F887}" name="Tableau croisé dynamique1" cacheId="10" applyNumberFormats="0" applyBorderFormats="0" applyFontFormats="0" applyPatternFormats="0" applyAlignmentFormats="0" applyWidthHeightFormats="1" dataCaption="Valeurs" updatedVersion="6" minRefreshableVersion="3" useAutoFormatting="1" itemPrintTitles="1" createdVersion="6" indent="0" outline="1" outlineData="1" multipleFieldFilters="0" chartFormat="28">
  <location ref="A7:B23" firstHeaderRow="1" firstDataRow="1" firstDataCol="1" rowPageCount="5" colPageCount="1"/>
  <pivotFields count="80">
    <pivotField numFmtId="21" showAll="0">
      <items count="369">
        <item x="1"/>
        <item x="2"/>
        <item x="3"/>
        <item x="4"/>
        <item x="5"/>
        <item x="6"/>
        <item x="7"/>
        <item x="8"/>
        <item x="9"/>
        <item x="10"/>
        <item x="11"/>
        <item x="12"/>
        <item x="13"/>
        <item x="14"/>
        <item x="15"/>
        <item x="16"/>
        <item x="17"/>
        <item x="18"/>
        <item x="19"/>
        <item x="20"/>
        <item x="21"/>
        <item x="22"/>
        <item x="23"/>
        <item x="24"/>
        <item x="25"/>
        <item x="26"/>
        <item x="27"/>
        <item x="28"/>
        <item x="29"/>
        <item x="30"/>
        <item x="31"/>
        <item x="32"/>
        <item x="33"/>
        <item x="34"/>
        <item x="35"/>
        <item x="36"/>
        <item x="37"/>
        <item x="38"/>
        <item x="39"/>
        <item x="40"/>
        <item x="41"/>
        <item x="42"/>
        <item x="43"/>
        <item x="44"/>
        <item x="45"/>
        <item x="46"/>
        <item x="47"/>
        <item x="48"/>
        <item x="49"/>
        <item x="50"/>
        <item x="51"/>
        <item x="52"/>
        <item x="53"/>
        <item x="54"/>
        <item x="55"/>
        <item x="56"/>
        <item x="57"/>
        <item x="58"/>
        <item x="59"/>
        <item x="60"/>
        <item x="61"/>
        <item x="62"/>
        <item x="63"/>
        <item x="64"/>
        <item x="65"/>
        <item x="66"/>
        <item x="67"/>
        <item x="68"/>
        <item x="69"/>
        <item x="70"/>
        <item x="71"/>
        <item x="72"/>
        <item x="73"/>
        <item x="74"/>
        <item x="75"/>
        <item x="76"/>
        <item x="77"/>
        <item x="78"/>
        <item x="79"/>
        <item x="80"/>
        <item x="81"/>
        <item x="82"/>
        <item x="83"/>
        <item x="84"/>
        <item x="85"/>
        <item x="86"/>
        <item x="87"/>
        <item x="88"/>
        <item x="89"/>
        <item x="90"/>
        <item x="91"/>
        <item x="92"/>
        <item x="93"/>
        <item x="94"/>
        <item x="95"/>
        <item x="96"/>
        <item x="97"/>
        <item x="98"/>
        <item x="99"/>
        <item x="100"/>
        <item x="101"/>
        <item x="102"/>
        <item x="103"/>
        <item x="104"/>
        <item x="105"/>
        <item x="106"/>
        <item x="107"/>
        <item x="108"/>
        <item x="109"/>
        <item x="110"/>
        <item x="111"/>
        <item x="112"/>
        <item x="113"/>
        <item x="114"/>
        <item x="115"/>
        <item x="116"/>
        <item x="117"/>
        <item x="118"/>
        <item x="119"/>
        <item x="120"/>
        <item x="121"/>
        <item x="122"/>
        <item x="123"/>
        <item x="124"/>
        <item x="125"/>
        <item x="126"/>
        <item x="127"/>
        <item x="128"/>
        <item x="129"/>
        <item x="130"/>
        <item x="131"/>
        <item x="132"/>
        <item x="133"/>
        <item x="134"/>
        <item x="135"/>
        <item x="136"/>
        <item x="137"/>
        <item x="138"/>
        <item x="139"/>
        <item x="140"/>
        <item x="141"/>
        <item x="142"/>
        <item x="143"/>
        <item x="144"/>
        <item x="145"/>
        <item x="146"/>
        <item x="147"/>
        <item x="148"/>
        <item x="149"/>
        <item x="150"/>
        <item x="151"/>
        <item x="152"/>
        <item x="153"/>
        <item x="154"/>
        <item x="155"/>
        <item x="156"/>
        <item x="157"/>
        <item x="158"/>
        <item x="159"/>
        <item x="160"/>
        <item x="161"/>
        <item x="162"/>
        <item x="163"/>
        <item x="164"/>
        <item x="165"/>
        <item x="166"/>
        <item x="167"/>
        <item x="168"/>
        <item x="169"/>
        <item x="170"/>
        <item x="171"/>
        <item x="172"/>
        <item x="173"/>
        <item x="174"/>
        <item x="175"/>
        <item x="176"/>
        <item x="177"/>
        <item x="178"/>
        <item x="179"/>
        <item x="180"/>
        <item x="181"/>
        <item x="182"/>
        <item x="183"/>
        <item x="184"/>
        <item x="185"/>
        <item x="186"/>
        <item x="187"/>
        <item x="188"/>
        <item x="189"/>
        <item x="190"/>
        <item x="191"/>
        <item x="192"/>
        <item x="193"/>
        <item x="194"/>
        <item x="195"/>
        <item x="196"/>
        <item x="197"/>
        <item x="198"/>
        <item x="199"/>
        <item x="200"/>
        <item x="201"/>
        <item x="202"/>
        <item x="203"/>
        <item x="204"/>
        <item x="205"/>
        <item x="206"/>
        <item x="207"/>
        <item x="208"/>
        <item x="209"/>
        <item x="210"/>
        <item x="211"/>
        <item x="212"/>
        <item x="213"/>
        <item x="214"/>
        <item x="215"/>
        <item x="216"/>
        <item x="217"/>
        <item x="218"/>
        <item x="219"/>
        <item x="220"/>
        <item x="221"/>
        <item x="222"/>
        <item x="223"/>
        <item x="224"/>
        <item x="225"/>
        <item x="226"/>
        <item x="227"/>
        <item x="228"/>
        <item x="229"/>
        <item x="230"/>
        <item x="231"/>
        <item x="232"/>
        <item x="233"/>
        <item x="234"/>
        <item x="235"/>
        <item x="236"/>
        <item x="237"/>
        <item x="238"/>
        <item x="239"/>
        <item x="240"/>
        <item x="241"/>
        <item x="242"/>
        <item x="243"/>
        <item x="244"/>
        <item x="245"/>
        <item x="246"/>
        <item x="247"/>
        <item x="248"/>
        <item x="249"/>
        <item x="250"/>
        <item x="251"/>
        <item x="252"/>
        <item x="253"/>
        <item x="254"/>
        <item x="255"/>
        <item x="256"/>
        <item x="257"/>
        <item x="258"/>
        <item x="259"/>
        <item x="260"/>
        <item x="261"/>
        <item x="262"/>
        <item x="263"/>
        <item x="264"/>
        <item x="265"/>
        <item x="266"/>
        <item x="267"/>
        <item x="268"/>
        <item x="269"/>
        <item x="270"/>
        <item x="271"/>
        <item x="272"/>
        <item x="273"/>
        <item x="274"/>
        <item x="275"/>
        <item x="276"/>
        <item x="277"/>
        <item x="278"/>
        <item x="279"/>
        <item x="280"/>
        <item x="281"/>
        <item x="282"/>
        <item x="283"/>
        <item x="284"/>
        <item x="285"/>
        <item x="286"/>
        <item x="287"/>
        <item x="288"/>
        <item x="289"/>
        <item x="290"/>
        <item x="291"/>
        <item x="292"/>
        <item x="293"/>
        <item x="294"/>
        <item x="295"/>
        <item x="296"/>
        <item x="297"/>
        <item x="298"/>
        <item x="299"/>
        <item x="300"/>
        <item x="301"/>
        <item x="302"/>
        <item x="303"/>
        <item x="304"/>
        <item x="305"/>
        <item x="306"/>
        <item x="307"/>
        <item x="308"/>
        <item x="309"/>
        <item x="310"/>
        <item x="311"/>
        <item x="312"/>
        <item x="313"/>
        <item x="314"/>
        <item x="315"/>
        <item x="316"/>
        <item x="317"/>
        <item x="318"/>
        <item x="319"/>
        <item x="320"/>
        <item x="321"/>
        <item x="322"/>
        <item x="323"/>
        <item x="324"/>
        <item x="325"/>
        <item x="326"/>
        <item x="327"/>
        <item x="328"/>
        <item x="329"/>
        <item x="330"/>
        <item x="331"/>
        <item x="332"/>
        <item x="333"/>
        <item x="334"/>
        <item x="335"/>
        <item x="336"/>
        <item x="337"/>
        <item x="338"/>
        <item x="339"/>
        <item x="340"/>
        <item x="341"/>
        <item x="342"/>
        <item x="343"/>
        <item x="344"/>
        <item x="345"/>
        <item x="346"/>
        <item x="347"/>
        <item x="348"/>
        <item x="349"/>
        <item x="350"/>
        <item x="351"/>
        <item x="352"/>
        <item x="353"/>
        <item x="354"/>
        <item x="355"/>
        <item x="356"/>
        <item x="357"/>
        <item x="358"/>
        <item x="359"/>
        <item x="360"/>
        <item x="361"/>
        <item x="362"/>
        <item x="363"/>
        <item x="364"/>
        <item x="365"/>
        <item x="366"/>
        <item x="0"/>
        <item x="367"/>
        <item t="default"/>
      </items>
    </pivotField>
    <pivotField numFmtId="164" showAll="0"/>
    <pivotField axis="axisPage" showAll="0">
      <items count="6">
        <item m="1" x="2"/>
        <item x="0"/>
        <item m="1" x="4"/>
        <item m="1" x="3"/>
        <item x="1"/>
        <item t="default"/>
      </items>
    </pivotField>
    <pivotField showAll="0"/>
    <pivotField showAll="0"/>
    <pivotField numFmtId="165" showAll="0"/>
    <pivotField numFmtId="165" showAll="0"/>
    <pivotField numFmtId="165" showAll="0"/>
    <pivotField numFmtId="22" showAll="0"/>
    <pivotField numFmtId="165" showAll="0"/>
    <pivotField numFmtId="165" showAll="0"/>
    <pivotField numFmtId="165" showAll="0"/>
    <pivotField numFmtId="166" showAll="0"/>
    <pivotField showAll="0"/>
    <pivotField numFmtId="166" showAll="0"/>
    <pivotField numFmtId="166" showAll="0"/>
    <pivotField axis="axisRow" numFmtId="14" showAll="0" sortType="ascending">
      <items count="16">
        <item x="0"/>
        <item x="1"/>
        <item x="2"/>
        <item x="3"/>
        <item x="4"/>
        <item x="5"/>
        <item x="6"/>
        <item x="7"/>
        <item x="8"/>
        <item x="9"/>
        <item x="10"/>
        <item x="11"/>
        <item x="12"/>
        <item x="13"/>
        <item x="14"/>
        <item t="default"/>
      </items>
    </pivotField>
    <pivotField axis="axisPage" showAll="0">
      <items count="12">
        <item m="1" x="9"/>
        <item m="1" x="4"/>
        <item m="1" x="10"/>
        <item m="1" x="5"/>
        <item m="1" x="8"/>
        <item m="1" x="7"/>
        <item m="1" x="3"/>
        <item m="1" x="6"/>
        <item x="0"/>
        <item x="2"/>
        <item x="1"/>
        <item t="default"/>
      </items>
    </pivotField>
    <pivotField numFmtId="174" showAll="0"/>
    <pivotField numFmtId="175" showAll="0"/>
    <pivotField showAll="0"/>
    <pivotField showAll="0"/>
    <pivotField numFmtId="167" showAll="0"/>
    <pivotField numFmtId="167" showAll="0"/>
    <pivotField showAll="0"/>
    <pivotField showAll="0"/>
    <pivotField numFmtId="166" showAll="0"/>
    <pivotField numFmtId="166" showAll="0"/>
    <pivotField numFmtId="22" showAll="0"/>
    <pivotField numFmtId="166" showAll="0"/>
    <pivotField numFmtId="166" showAll="0"/>
    <pivotField numFmtId="22" showAll="0"/>
    <pivotField numFmtId="43" showAll="0"/>
    <pivotField numFmtId="43" showAll="0"/>
    <pivotField showAll="0"/>
    <pivotField numFmtId="10" showAll="0"/>
    <pivotField showAll="0"/>
    <pivotField numFmtId="166" showAll="0"/>
    <pivotField numFmtId="166" showAll="0"/>
    <pivotField numFmtId="10" showAll="0"/>
    <pivotField dataField="1" numFmtId="167" showAll="0"/>
    <pivotField showAll="0"/>
    <pivotField showAll="0"/>
    <pivotField numFmtId="167"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dragToRow="0" dragToCol="0" dragToPage="0" showAll="0" defaultSubtotal="0"/>
    <pivotField dragToRow="0" dragToCol="0" dragToPage="0" showAll="0" defaultSubtotal="0"/>
    <pivotField showAll="0">
      <items count="5">
        <item x="0"/>
        <item x="1"/>
        <item x="2"/>
        <item x="3"/>
        <item t="default"/>
      </items>
    </pivotField>
    <pivotField axis="axisPage" showAll="0">
      <items count="15">
        <item x="0"/>
        <item x="1"/>
        <item x="2"/>
        <item x="3"/>
        <item x="4"/>
        <item x="5"/>
        <item x="6"/>
        <item x="7"/>
        <item x="8"/>
        <item x="9"/>
        <item x="10"/>
        <item x="11"/>
        <item x="12"/>
        <item x="13"/>
        <item t="default"/>
      </items>
    </pivotField>
    <pivotField axis="axisPage" showAll="0">
      <items count="7">
        <item x="1"/>
        <item x="2"/>
        <item x="3"/>
        <item x="4"/>
        <item x="0"/>
        <item x="5"/>
        <item t="default"/>
      </items>
    </pivotField>
    <pivotField axis="axisPage" showAll="0">
      <items count="4">
        <item x="1"/>
        <item x="0"/>
        <item x="2"/>
        <item t="default"/>
      </items>
    </pivotField>
    <pivotField dragToRow="0" dragToCol="0" dragToPage="0" showAll="0" defaultSubtotal="0"/>
    <pivotField dragToRow="0" dragToCol="0" dragToPage="0" showAll="0" defaultSubtotal="0"/>
    <pivotField dragToRow="0" dragToCol="0" dragToPage="0" showAll="0" defaultSubtotal="0"/>
    <pivotField dragToRow="0" dragToCol="0" dragToPage="0" showAll="0" defaultSubtotal="0"/>
    <pivotField dragToRow="0" dragToCol="0" dragToPage="0" showAll="0" defaultSubtotal="0"/>
  </pivotFields>
  <rowFields count="1">
    <field x="16"/>
  </rowFields>
  <rowItems count="16">
    <i>
      <x/>
    </i>
    <i>
      <x v="1"/>
    </i>
    <i>
      <x v="2"/>
    </i>
    <i>
      <x v="3"/>
    </i>
    <i>
      <x v="4"/>
    </i>
    <i>
      <x v="5"/>
    </i>
    <i>
      <x v="6"/>
    </i>
    <i>
      <x v="7"/>
    </i>
    <i>
      <x v="8"/>
    </i>
    <i>
      <x v="9"/>
    </i>
    <i>
      <x v="10"/>
    </i>
    <i>
      <x v="11"/>
    </i>
    <i>
      <x v="12"/>
    </i>
    <i>
      <x v="13"/>
    </i>
    <i>
      <x v="14"/>
    </i>
    <i t="grand">
      <x/>
    </i>
  </rowItems>
  <colItems count="1">
    <i/>
  </colItems>
  <pageFields count="5">
    <pageField fld="2" hier="-1"/>
    <pageField fld="74" hier="-1"/>
    <pageField fld="73" hier="-1"/>
    <pageField fld="72" hier="-1"/>
    <pageField fld="17" hier="-1"/>
  </pageFields>
  <dataFields count="1">
    <dataField name="Somme de Points" fld="40" showDataAs="runTotal" baseField="16" baseItem="1"/>
  </dataFields>
  <chartFormats count="1">
    <chartFormat chart="25" format="3" series="1">
      <pivotArea type="data" outline="0" fieldPosition="0">
        <references count="1">
          <reference field="4294967294" count="1" selected="0">
            <x v="0"/>
          </reference>
        </references>
      </pivotArea>
    </chartFormat>
  </chart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9.xml><?xml version="1.0" encoding="utf-8"?>
<pivotTableDefinition xmlns="http://schemas.openxmlformats.org/spreadsheetml/2006/main" xmlns:mc="http://schemas.openxmlformats.org/markup-compatibility/2006" xmlns:xr="http://schemas.microsoft.com/office/spreadsheetml/2014/revision" mc:Ignorable="xr" xr:uid="{C20E601F-EE0D-4EC9-B19A-EDE9DCD83CCE}" name="Tableau croisé dynamique1" cacheId="10" applyNumberFormats="0" applyBorderFormats="0" applyFontFormats="0" applyPatternFormats="0" applyAlignmentFormats="0" applyWidthHeightFormats="1" dataCaption="Valeurs" updatedVersion="6" minRefreshableVersion="3" useAutoFormatting="1" itemPrintTitles="1" createdVersion="6" indent="0" outline="1" outlineData="1" multipleFieldFilters="0">
  <location ref="A7:U25" firstHeaderRow="1" firstDataRow="3" firstDataCol="1" rowPageCount="5" colPageCount="1"/>
  <pivotFields count="80">
    <pivotField axis="axisRow" numFmtId="22" showAll="0" sortType="ascending">
      <items count="369">
        <item x="0"/>
        <item x="367"/>
        <item x="214"/>
        <item x="92"/>
        <item x="336"/>
        <item x="32"/>
        <item x="1"/>
        <item x="183"/>
        <item x="153"/>
        <item x="122"/>
        <item x="61"/>
        <item x="306"/>
        <item x="275"/>
        <item x="245"/>
        <item x="215"/>
        <item x="93"/>
        <item x="337"/>
        <item x="33"/>
        <item x="2"/>
        <item x="184"/>
        <item x="154"/>
        <item x="123"/>
        <item x="62"/>
        <item x="307"/>
        <item x="276"/>
        <item x="246"/>
        <item x="216"/>
        <item x="94"/>
        <item x="338"/>
        <item x="34"/>
        <item x="3"/>
        <item x="185"/>
        <item x="155"/>
        <item x="124"/>
        <item x="63"/>
        <item x="308"/>
        <item x="277"/>
        <item x="247"/>
        <item x="217"/>
        <item x="95"/>
        <item x="339"/>
        <item x="35"/>
        <item x="4"/>
        <item x="186"/>
        <item x="156"/>
        <item x="125"/>
        <item x="64"/>
        <item x="309"/>
        <item x="278"/>
        <item x="248"/>
        <item x="218"/>
        <item x="96"/>
        <item x="340"/>
        <item x="36"/>
        <item x="5"/>
        <item x="187"/>
        <item x="157"/>
        <item x="126"/>
        <item x="65"/>
        <item x="310"/>
        <item x="279"/>
        <item x="249"/>
        <item x="219"/>
        <item x="97"/>
        <item x="341"/>
        <item x="37"/>
        <item x="6"/>
        <item x="188"/>
        <item x="158"/>
        <item x="127"/>
        <item x="66"/>
        <item x="311"/>
        <item x="280"/>
        <item x="250"/>
        <item x="220"/>
        <item x="98"/>
        <item x="342"/>
        <item x="38"/>
        <item x="7"/>
        <item x="189"/>
        <item x="159"/>
        <item x="128"/>
        <item x="67"/>
        <item x="312"/>
        <item x="281"/>
        <item x="251"/>
        <item x="221"/>
        <item x="99"/>
        <item x="343"/>
        <item x="39"/>
        <item x="8"/>
        <item x="190"/>
        <item x="160"/>
        <item x="129"/>
        <item x="68"/>
        <item x="313"/>
        <item x="282"/>
        <item x="252"/>
        <item x="222"/>
        <item x="100"/>
        <item x="344"/>
        <item x="40"/>
        <item x="9"/>
        <item x="191"/>
        <item x="161"/>
        <item x="130"/>
        <item x="69"/>
        <item x="314"/>
        <item x="283"/>
        <item x="253"/>
        <item x="223"/>
        <item x="101"/>
        <item x="345"/>
        <item x="41"/>
        <item x="10"/>
        <item x="192"/>
        <item x="162"/>
        <item x="131"/>
        <item x="70"/>
        <item x="315"/>
        <item x="284"/>
        <item x="254"/>
        <item x="224"/>
        <item x="102"/>
        <item x="346"/>
        <item x="42"/>
        <item x="11"/>
        <item x="193"/>
        <item x="163"/>
        <item x="132"/>
        <item x="71"/>
        <item x="316"/>
        <item x="285"/>
        <item x="255"/>
        <item x="225"/>
        <item x="103"/>
        <item x="347"/>
        <item x="43"/>
        <item x="12"/>
        <item x="194"/>
        <item x="164"/>
        <item x="133"/>
        <item x="72"/>
        <item x="317"/>
        <item x="286"/>
        <item x="256"/>
        <item x="226"/>
        <item x="104"/>
        <item x="348"/>
        <item x="44"/>
        <item x="13"/>
        <item x="195"/>
        <item x="165"/>
        <item x="134"/>
        <item x="73"/>
        <item x="318"/>
        <item x="287"/>
        <item x="257"/>
        <item x="227"/>
        <item x="105"/>
        <item x="349"/>
        <item x="45"/>
        <item x="14"/>
        <item x="196"/>
        <item x="166"/>
        <item x="135"/>
        <item x="74"/>
        <item x="319"/>
        <item x="288"/>
        <item x="258"/>
        <item x="228"/>
        <item x="106"/>
        <item x="350"/>
        <item x="46"/>
        <item x="15"/>
        <item x="197"/>
        <item x="167"/>
        <item x="136"/>
        <item x="75"/>
        <item x="320"/>
        <item x="289"/>
        <item x="259"/>
        <item x="229"/>
        <item x="107"/>
        <item x="351"/>
        <item x="47"/>
        <item x="16"/>
        <item x="198"/>
        <item x="168"/>
        <item x="137"/>
        <item x="76"/>
        <item x="321"/>
        <item x="290"/>
        <item x="260"/>
        <item x="230"/>
        <item x="108"/>
        <item x="352"/>
        <item x="48"/>
        <item x="17"/>
        <item x="199"/>
        <item x="169"/>
        <item x="138"/>
        <item x="77"/>
        <item x="322"/>
        <item x="291"/>
        <item x="261"/>
        <item x="231"/>
        <item x="109"/>
        <item x="353"/>
        <item x="49"/>
        <item x="18"/>
        <item x="200"/>
        <item x="170"/>
        <item x="139"/>
        <item x="78"/>
        <item x="323"/>
        <item x="292"/>
        <item x="262"/>
        <item x="232"/>
        <item x="110"/>
        <item x="354"/>
        <item x="50"/>
        <item x="19"/>
        <item x="201"/>
        <item x="171"/>
        <item x="140"/>
        <item x="79"/>
        <item x="324"/>
        <item x="293"/>
        <item x="263"/>
        <item x="233"/>
        <item x="111"/>
        <item x="355"/>
        <item x="51"/>
        <item x="20"/>
        <item x="202"/>
        <item x="172"/>
        <item x="141"/>
        <item x="80"/>
        <item x="325"/>
        <item x="294"/>
        <item x="264"/>
        <item x="234"/>
        <item x="112"/>
        <item x="356"/>
        <item x="52"/>
        <item x="21"/>
        <item x="203"/>
        <item x="173"/>
        <item x="142"/>
        <item x="81"/>
        <item x="326"/>
        <item x="295"/>
        <item x="265"/>
        <item x="235"/>
        <item x="113"/>
        <item x="357"/>
        <item x="53"/>
        <item x="22"/>
        <item x="204"/>
        <item x="174"/>
        <item x="143"/>
        <item x="82"/>
        <item x="327"/>
        <item x="296"/>
        <item x="266"/>
        <item x="236"/>
        <item x="114"/>
        <item x="358"/>
        <item x="54"/>
        <item x="23"/>
        <item x="205"/>
        <item x="175"/>
        <item x="144"/>
        <item x="83"/>
        <item x="328"/>
        <item x="297"/>
        <item x="267"/>
        <item x="237"/>
        <item x="115"/>
        <item x="359"/>
        <item x="55"/>
        <item x="24"/>
        <item x="206"/>
        <item x="176"/>
        <item x="145"/>
        <item x="84"/>
        <item x="329"/>
        <item x="298"/>
        <item x="268"/>
        <item x="238"/>
        <item x="116"/>
        <item x="360"/>
        <item x="56"/>
        <item x="25"/>
        <item x="207"/>
        <item x="177"/>
        <item x="146"/>
        <item x="85"/>
        <item x="330"/>
        <item x="299"/>
        <item x="269"/>
        <item x="239"/>
        <item x="117"/>
        <item x="361"/>
        <item x="57"/>
        <item x="26"/>
        <item x="208"/>
        <item x="178"/>
        <item x="147"/>
        <item x="86"/>
        <item x="331"/>
        <item x="300"/>
        <item x="270"/>
        <item x="240"/>
        <item x="118"/>
        <item x="362"/>
        <item x="58"/>
        <item x="27"/>
        <item x="209"/>
        <item x="179"/>
        <item x="148"/>
        <item x="87"/>
        <item x="332"/>
        <item x="301"/>
        <item x="271"/>
        <item x="241"/>
        <item x="119"/>
        <item x="363"/>
        <item x="59"/>
        <item x="28"/>
        <item x="210"/>
        <item x="180"/>
        <item x="149"/>
        <item x="88"/>
        <item x="333"/>
        <item x="302"/>
        <item x="272"/>
        <item x="242"/>
        <item x="120"/>
        <item x="364"/>
        <item x="60"/>
        <item x="29"/>
        <item x="211"/>
        <item x="181"/>
        <item x="150"/>
        <item x="89"/>
        <item x="334"/>
        <item x="303"/>
        <item x="273"/>
        <item x="243"/>
        <item x="121"/>
        <item x="365"/>
        <item x="30"/>
        <item x="212"/>
        <item x="182"/>
        <item x="151"/>
        <item x="90"/>
        <item x="335"/>
        <item x="304"/>
        <item x="274"/>
        <item x="244"/>
        <item x="366"/>
        <item x="31"/>
        <item x="213"/>
        <item x="152"/>
        <item x="91"/>
        <item x="305"/>
        <item t="default"/>
      </items>
    </pivotField>
    <pivotField numFmtId="164" showAll="0"/>
    <pivotField axis="axisPage" showAll="0">
      <items count="6">
        <item m="1" x="2"/>
        <item x="0"/>
        <item m="1" x="4"/>
        <item m="1" x="3"/>
        <item x="1"/>
        <item t="default"/>
      </items>
    </pivotField>
    <pivotField showAll="0"/>
    <pivotField showAll="0"/>
    <pivotField numFmtId="165" showAll="0"/>
    <pivotField numFmtId="165" showAll="0"/>
    <pivotField numFmtId="165" showAll="0"/>
    <pivotField numFmtId="22" showAll="0"/>
    <pivotField numFmtId="165" showAll="0"/>
    <pivotField numFmtId="165" showAll="0"/>
    <pivotField numFmtId="165" showAll="0"/>
    <pivotField numFmtId="166" showAll="0"/>
    <pivotField showAll="0"/>
    <pivotField numFmtId="166" showAll="0"/>
    <pivotField numFmtId="166" showAll="0"/>
    <pivotField numFmtId="14" showAll="0"/>
    <pivotField axis="axisPage" showAll="0">
      <items count="12">
        <item m="1" x="9"/>
        <item m="1" x="4"/>
        <item m="1" x="10"/>
        <item m="1" x="5"/>
        <item m="1" x="8"/>
        <item m="1" x="7"/>
        <item m="1" x="3"/>
        <item m="1" x="6"/>
        <item x="0"/>
        <item x="2"/>
        <item x="1"/>
        <item t="default"/>
      </items>
    </pivotField>
    <pivotField numFmtId="174" showAll="0"/>
    <pivotField numFmtId="175" showAll="0"/>
    <pivotField showAll="0"/>
    <pivotField showAll="0"/>
    <pivotField numFmtId="167" showAll="0"/>
    <pivotField numFmtId="167" showAll="0"/>
    <pivotField showAll="0"/>
    <pivotField showAll="0"/>
    <pivotField numFmtId="166" showAll="0"/>
    <pivotField numFmtId="166" showAll="0"/>
    <pivotField numFmtId="22" showAll="0"/>
    <pivotField numFmtId="166" showAll="0"/>
    <pivotField numFmtId="166" showAll="0"/>
    <pivotField numFmtId="22" showAll="0"/>
    <pivotField numFmtId="43" showAll="0"/>
    <pivotField numFmtId="43" showAll="0"/>
    <pivotField showAll="0"/>
    <pivotField numFmtId="10" showAll="0"/>
    <pivotField showAll="0"/>
    <pivotField numFmtId="166" showAll="0"/>
    <pivotField numFmtId="166" showAll="0"/>
    <pivotField numFmtId="10" showAll="0"/>
    <pivotField dataField="1" numFmtId="167" showAll="0"/>
    <pivotField showAll="0"/>
    <pivotField showAll="0"/>
    <pivotField numFmtId="167"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axis="axisCol" showAll="0">
      <items count="5">
        <item x="0"/>
        <item x="1"/>
        <item x="2"/>
        <item x="3"/>
        <item t="default"/>
      </items>
    </pivotField>
    <pivotField showAll="0"/>
    <pivotField showAll="0"/>
    <pivotField showAll="0"/>
    <pivotField showAll="0"/>
    <pivotField showAll="0"/>
    <pivotField showAll="0"/>
    <pivotField showAll="0"/>
    <pivotField showAll="0"/>
    <pivotField showAll="0"/>
    <pivotField dragToRow="0" dragToCol="0" dragToPage="0" showAll="0" defaultSubtotal="0"/>
    <pivotField dragToRow="0" dragToCol="0" dragToPage="0" showAll="0" defaultSubtotal="0"/>
    <pivotField showAll="0">
      <items count="5">
        <item x="0"/>
        <item x="1"/>
        <item x="2"/>
        <item x="3"/>
        <item t="default"/>
      </items>
    </pivotField>
    <pivotField axis="axisPage" showAll="0">
      <items count="15">
        <item sd="0" x="0"/>
        <item sd="0" x="1"/>
        <item sd="0" x="2"/>
        <item sd="0" x="3"/>
        <item sd="0" x="4"/>
        <item sd="0" x="5"/>
        <item sd="0" x="6"/>
        <item sd="0" x="7"/>
        <item sd="0" x="8"/>
        <item sd="0" x="9"/>
        <item x="10"/>
        <item sd="0" x="11"/>
        <item sd="0" x="12"/>
        <item sd="0" x="13"/>
        <item t="default"/>
      </items>
    </pivotField>
    <pivotField axis="axisPage" showAll="0">
      <items count="7">
        <item sd="0" x="1"/>
        <item sd="0" x="2"/>
        <item sd="0" x="3"/>
        <item x="4"/>
        <item x="0"/>
        <item x="5"/>
        <item t="default"/>
      </items>
    </pivotField>
    <pivotField axis="axisPage" showAll="0">
      <items count="4">
        <item x="1"/>
        <item x="0"/>
        <item x="2"/>
        <item t="default"/>
      </items>
    </pivotField>
    <pivotField dragToRow="0" dragToCol="0" dragToPage="0" showAll="0" defaultSubtotal="0"/>
    <pivotField dragToRow="0" dragToCol="0" dragToPage="0" showAll="0" defaultSubtotal="0"/>
    <pivotField dragToRow="0" dragToCol="0" dragToPage="0" showAll="0" defaultSubtotal="0"/>
    <pivotField dragToRow="0" dragToCol="0" dragToPage="0" showAll="0" defaultSubtotal="0"/>
    <pivotField dragToRow="0" dragToCol="0" dragToPage="0" showAll="0" defaultSubtotal="0"/>
  </pivotFields>
  <rowFields count="1">
    <field x="0"/>
  </rowFields>
  <rowItems count="16">
    <i>
      <x v="29"/>
    </i>
    <i>
      <x v="41"/>
    </i>
    <i>
      <x v="53"/>
    </i>
    <i>
      <x v="65"/>
    </i>
    <i>
      <x v="77"/>
    </i>
    <i>
      <x v="113"/>
    </i>
    <i>
      <x v="125"/>
    </i>
    <i>
      <x v="137"/>
    </i>
    <i>
      <x v="149"/>
    </i>
    <i>
      <x v="161"/>
    </i>
    <i>
      <x v="197"/>
    </i>
    <i>
      <x v="209"/>
    </i>
    <i>
      <x v="221"/>
    </i>
    <i>
      <x v="233"/>
    </i>
    <i>
      <x v="245"/>
    </i>
    <i t="grand">
      <x/>
    </i>
  </rowItems>
  <colFields count="2">
    <field x="-2"/>
    <field x="59"/>
  </colFields>
  <colItems count="20">
    <i>
      <x/>
      <x/>
    </i>
    <i r="1">
      <x v="1"/>
    </i>
    <i r="1">
      <x v="2"/>
    </i>
    <i r="1">
      <x v="3"/>
    </i>
    <i i="1">
      <x v="1"/>
      <x/>
    </i>
    <i r="1" i="1">
      <x v="1"/>
    </i>
    <i r="1" i="1">
      <x v="2"/>
    </i>
    <i r="1" i="1">
      <x v="3"/>
    </i>
    <i i="2">
      <x v="2"/>
      <x/>
    </i>
    <i r="1" i="2">
      <x v="1"/>
    </i>
    <i r="1" i="2">
      <x v="2"/>
    </i>
    <i r="1" i="2">
      <x v="3"/>
    </i>
    <i i="3">
      <x v="3"/>
      <x/>
    </i>
    <i r="1" i="3">
      <x v="1"/>
    </i>
    <i r="1" i="3">
      <x v="2"/>
    </i>
    <i r="1" i="3">
      <x v="3"/>
    </i>
    <i t="grand">
      <x/>
    </i>
    <i t="grand" i="1">
      <x/>
    </i>
    <i t="grand" i="2">
      <x/>
    </i>
    <i t="grand" i="3">
      <x/>
    </i>
  </colItems>
  <pageFields count="5">
    <pageField fld="74" hier="-1"/>
    <pageField fld="73" hier="-1"/>
    <pageField fld="72" hier="-1"/>
    <pageField fld="2" hier="-1"/>
    <pageField fld="17" hier="-1"/>
  </pageFields>
  <dataFields count="4">
    <dataField name="Max. de Points" fld="40" subtotal="max" baseField="0" baseItem="309" numFmtId="2"/>
    <dataField name="Moyenne de Points" fld="40" subtotal="average" baseField="0" baseItem="288" numFmtId="2"/>
    <dataField name="Min. de Points" fld="40" subtotal="min" baseField="0" baseItem="0" numFmtId="2"/>
    <dataField name="Somme de Points" fld="40" baseField="0" baseItem="288"/>
  </dataField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10.xml><?xml version="1.0" encoding="utf-8"?>
<pivotTableDefinition xmlns="http://schemas.openxmlformats.org/spreadsheetml/2006/main" xmlns:mc="http://schemas.openxmlformats.org/markup-compatibility/2006" xmlns:xr="http://schemas.microsoft.com/office/spreadsheetml/2014/revision" mc:Ignorable="xr" xr:uid="{44993888-4564-4535-BDA5-BB1F7F99E96A}" name="Tableau croisé dynamique1" cacheId="10" applyNumberFormats="0" applyBorderFormats="0" applyFontFormats="0" applyPatternFormats="0" applyAlignmentFormats="0" applyWidthHeightFormats="1" dataCaption="Valeurs" updatedVersion="6" minRefreshableVersion="3" useAutoFormatting="1" itemPrintTitles="1" createdVersion="6" indent="0" outline="1" outlineData="1" multipleFieldFilters="0">
  <location ref="A7:F24" firstHeaderRow="1" firstDataRow="2" firstDataCol="1" rowPageCount="5" colPageCount="1"/>
  <pivotFields count="80">
    <pivotField axis="axisRow" numFmtId="22" showAll="0" sortType="ascending">
      <items count="369">
        <item x="0"/>
        <item x="367"/>
        <item x="214"/>
        <item x="92"/>
        <item x="336"/>
        <item x="32"/>
        <item x="1"/>
        <item x="183"/>
        <item x="153"/>
        <item x="122"/>
        <item x="61"/>
        <item x="306"/>
        <item x="275"/>
        <item x="245"/>
        <item x="215"/>
        <item x="93"/>
        <item x="337"/>
        <item x="33"/>
        <item x="2"/>
        <item x="184"/>
        <item x="154"/>
        <item x="123"/>
        <item x="62"/>
        <item x="307"/>
        <item x="276"/>
        <item x="246"/>
        <item x="216"/>
        <item x="94"/>
        <item x="338"/>
        <item x="34"/>
        <item x="3"/>
        <item x="185"/>
        <item x="155"/>
        <item x="124"/>
        <item x="63"/>
        <item x="308"/>
        <item x="277"/>
        <item x="247"/>
        <item x="217"/>
        <item x="95"/>
        <item x="339"/>
        <item x="35"/>
        <item x="4"/>
        <item x="186"/>
        <item x="156"/>
        <item x="125"/>
        <item x="64"/>
        <item x="309"/>
        <item x="278"/>
        <item x="248"/>
        <item x="218"/>
        <item x="96"/>
        <item x="340"/>
        <item x="36"/>
        <item x="5"/>
        <item x="187"/>
        <item x="157"/>
        <item x="126"/>
        <item x="65"/>
        <item x="310"/>
        <item x="279"/>
        <item x="249"/>
        <item x="219"/>
        <item x="97"/>
        <item x="341"/>
        <item x="37"/>
        <item x="6"/>
        <item x="188"/>
        <item x="158"/>
        <item x="127"/>
        <item x="66"/>
        <item x="311"/>
        <item x="280"/>
        <item x="250"/>
        <item x="220"/>
        <item x="98"/>
        <item x="342"/>
        <item x="38"/>
        <item x="7"/>
        <item x="189"/>
        <item x="159"/>
        <item x="128"/>
        <item x="67"/>
        <item x="312"/>
        <item x="281"/>
        <item x="251"/>
        <item x="221"/>
        <item x="99"/>
        <item x="343"/>
        <item x="39"/>
        <item x="8"/>
        <item x="190"/>
        <item x="160"/>
        <item x="129"/>
        <item x="68"/>
        <item x="313"/>
        <item x="282"/>
        <item x="252"/>
        <item x="222"/>
        <item x="100"/>
        <item x="344"/>
        <item x="40"/>
        <item x="9"/>
        <item x="191"/>
        <item x="161"/>
        <item x="130"/>
        <item x="69"/>
        <item x="314"/>
        <item x="283"/>
        <item x="253"/>
        <item x="223"/>
        <item x="101"/>
        <item x="345"/>
        <item x="41"/>
        <item x="10"/>
        <item x="192"/>
        <item x="162"/>
        <item x="131"/>
        <item x="70"/>
        <item x="315"/>
        <item x="284"/>
        <item x="254"/>
        <item x="224"/>
        <item x="102"/>
        <item x="346"/>
        <item x="42"/>
        <item x="11"/>
        <item x="193"/>
        <item x="163"/>
        <item x="132"/>
        <item x="71"/>
        <item x="316"/>
        <item x="285"/>
        <item x="255"/>
        <item x="225"/>
        <item x="103"/>
        <item x="347"/>
        <item x="43"/>
        <item x="12"/>
        <item x="194"/>
        <item x="164"/>
        <item x="133"/>
        <item x="72"/>
        <item x="317"/>
        <item x="286"/>
        <item x="256"/>
        <item x="226"/>
        <item x="104"/>
        <item x="348"/>
        <item x="44"/>
        <item x="13"/>
        <item x="195"/>
        <item x="165"/>
        <item x="134"/>
        <item x="73"/>
        <item x="318"/>
        <item x="287"/>
        <item x="257"/>
        <item x="227"/>
        <item x="105"/>
        <item x="349"/>
        <item x="45"/>
        <item x="14"/>
        <item x="196"/>
        <item x="166"/>
        <item x="135"/>
        <item x="74"/>
        <item x="319"/>
        <item x="288"/>
        <item x="258"/>
        <item x="228"/>
        <item x="106"/>
        <item x="350"/>
        <item x="46"/>
        <item x="15"/>
        <item x="197"/>
        <item x="167"/>
        <item x="136"/>
        <item x="75"/>
        <item x="320"/>
        <item x="289"/>
        <item x="259"/>
        <item x="229"/>
        <item x="107"/>
        <item x="351"/>
        <item x="47"/>
        <item x="16"/>
        <item x="198"/>
        <item x="168"/>
        <item x="137"/>
        <item x="76"/>
        <item x="321"/>
        <item x="290"/>
        <item x="260"/>
        <item x="230"/>
        <item x="108"/>
        <item x="352"/>
        <item x="48"/>
        <item x="17"/>
        <item x="199"/>
        <item x="169"/>
        <item x="138"/>
        <item x="77"/>
        <item x="322"/>
        <item x="291"/>
        <item x="261"/>
        <item x="231"/>
        <item x="109"/>
        <item x="353"/>
        <item x="49"/>
        <item x="18"/>
        <item x="200"/>
        <item x="170"/>
        <item x="139"/>
        <item x="78"/>
        <item x="323"/>
        <item x="292"/>
        <item x="262"/>
        <item x="232"/>
        <item x="110"/>
        <item x="354"/>
        <item x="50"/>
        <item x="19"/>
        <item x="201"/>
        <item x="171"/>
        <item x="140"/>
        <item x="79"/>
        <item x="324"/>
        <item x="293"/>
        <item x="263"/>
        <item x="233"/>
        <item x="111"/>
        <item x="355"/>
        <item x="51"/>
        <item x="20"/>
        <item x="202"/>
        <item x="172"/>
        <item x="141"/>
        <item x="80"/>
        <item x="325"/>
        <item x="294"/>
        <item x="264"/>
        <item x="234"/>
        <item x="112"/>
        <item x="356"/>
        <item x="52"/>
        <item x="21"/>
        <item x="203"/>
        <item x="173"/>
        <item x="142"/>
        <item x="81"/>
        <item x="326"/>
        <item x="295"/>
        <item x="265"/>
        <item x="235"/>
        <item x="113"/>
        <item x="357"/>
        <item x="53"/>
        <item x="22"/>
        <item x="204"/>
        <item x="174"/>
        <item x="143"/>
        <item x="82"/>
        <item x="327"/>
        <item x="296"/>
        <item x="266"/>
        <item x="236"/>
        <item x="114"/>
        <item x="358"/>
        <item x="54"/>
        <item x="23"/>
        <item x="205"/>
        <item x="175"/>
        <item x="144"/>
        <item x="83"/>
        <item x="328"/>
        <item x="297"/>
        <item x="267"/>
        <item x="237"/>
        <item x="115"/>
        <item x="359"/>
        <item x="55"/>
        <item x="24"/>
        <item x="206"/>
        <item x="176"/>
        <item x="145"/>
        <item x="84"/>
        <item x="329"/>
        <item x="298"/>
        <item x="268"/>
        <item x="238"/>
        <item x="116"/>
        <item x="360"/>
        <item x="56"/>
        <item x="25"/>
        <item x="207"/>
        <item x="177"/>
        <item x="146"/>
        <item x="85"/>
        <item x="330"/>
        <item x="299"/>
        <item x="269"/>
        <item x="239"/>
        <item x="117"/>
        <item x="361"/>
        <item x="57"/>
        <item x="26"/>
        <item x="208"/>
        <item x="178"/>
        <item x="147"/>
        <item x="86"/>
        <item x="331"/>
        <item x="300"/>
        <item x="270"/>
        <item x="240"/>
        <item x="118"/>
        <item x="362"/>
        <item x="58"/>
        <item x="27"/>
        <item x="209"/>
        <item x="179"/>
        <item x="148"/>
        <item x="87"/>
        <item x="332"/>
        <item x="301"/>
        <item x="271"/>
        <item x="241"/>
        <item x="119"/>
        <item x="363"/>
        <item x="59"/>
        <item x="28"/>
        <item x="210"/>
        <item x="180"/>
        <item x="149"/>
        <item x="88"/>
        <item x="333"/>
        <item x="302"/>
        <item x="272"/>
        <item x="242"/>
        <item x="120"/>
        <item x="364"/>
        <item x="60"/>
        <item x="29"/>
        <item x="211"/>
        <item x="181"/>
        <item x="150"/>
        <item x="89"/>
        <item x="334"/>
        <item x="303"/>
        <item x="273"/>
        <item x="243"/>
        <item x="121"/>
        <item x="365"/>
        <item x="30"/>
        <item x="212"/>
        <item x="182"/>
        <item x="151"/>
        <item x="90"/>
        <item x="335"/>
        <item x="304"/>
        <item x="274"/>
        <item x="244"/>
        <item x="366"/>
        <item x="31"/>
        <item x="213"/>
        <item x="152"/>
        <item x="91"/>
        <item x="305"/>
        <item t="default"/>
      </items>
    </pivotField>
    <pivotField numFmtId="164" showAll="0"/>
    <pivotField axis="axisPage" showAll="0">
      <items count="6">
        <item m="1" x="2"/>
        <item x="0"/>
        <item m="1" x="4"/>
        <item m="1" x="3"/>
        <item x="1"/>
        <item t="default"/>
      </items>
    </pivotField>
    <pivotField showAll="0"/>
    <pivotField showAll="0"/>
    <pivotField numFmtId="165" showAll="0"/>
    <pivotField numFmtId="165" showAll="0"/>
    <pivotField numFmtId="165" showAll="0"/>
    <pivotField numFmtId="22" showAll="0"/>
    <pivotField numFmtId="165" showAll="0"/>
    <pivotField numFmtId="165" showAll="0"/>
    <pivotField numFmtId="165" showAll="0"/>
    <pivotField numFmtId="166" showAll="0"/>
    <pivotField showAll="0"/>
    <pivotField numFmtId="166" showAll="0"/>
    <pivotField numFmtId="166" showAll="0"/>
    <pivotField numFmtId="14" showAll="0"/>
    <pivotField axis="axisPage" showAll="0">
      <items count="12">
        <item m="1" x="9"/>
        <item m="1" x="4"/>
        <item m="1" x="10"/>
        <item m="1" x="5"/>
        <item m="1" x="8"/>
        <item m="1" x="7"/>
        <item m="1" x="3"/>
        <item m="1" x="6"/>
        <item x="0"/>
        <item x="2"/>
        <item x="1"/>
        <item t="default"/>
      </items>
    </pivotField>
    <pivotField numFmtId="174" showAll="0"/>
    <pivotField numFmtId="175" showAll="0"/>
    <pivotField showAll="0"/>
    <pivotField showAll="0"/>
    <pivotField numFmtId="167" showAll="0"/>
    <pivotField numFmtId="167" showAll="0"/>
    <pivotField showAll="0"/>
    <pivotField showAll="0"/>
    <pivotField numFmtId="166" showAll="0"/>
    <pivotField numFmtId="166" showAll="0"/>
    <pivotField numFmtId="22" showAll="0"/>
    <pivotField numFmtId="166" showAll="0"/>
    <pivotField numFmtId="166" showAll="0"/>
    <pivotField numFmtId="22" showAll="0"/>
    <pivotField numFmtId="43" showAll="0"/>
    <pivotField numFmtId="43" showAll="0"/>
    <pivotField showAll="0"/>
    <pivotField numFmtId="10" showAll="0"/>
    <pivotField showAll="0"/>
    <pivotField numFmtId="166" showAll="0"/>
    <pivotField numFmtId="166" showAll="0"/>
    <pivotField showAll="0"/>
    <pivotField dataField="1" numFmtId="167" showAll="0"/>
    <pivotField showAll="0"/>
    <pivotField showAll="0"/>
    <pivotField numFmtId="167"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axis="axisCol" showAll="0">
      <items count="5">
        <item x="0"/>
        <item x="1"/>
        <item x="2"/>
        <item x="3"/>
        <item t="default"/>
      </items>
    </pivotField>
    <pivotField showAll="0"/>
    <pivotField showAll="0"/>
    <pivotField showAll="0"/>
    <pivotField showAll="0"/>
    <pivotField showAll="0"/>
    <pivotField showAll="0"/>
    <pivotField showAll="0"/>
    <pivotField showAll="0"/>
    <pivotField showAll="0"/>
    <pivotField dragToRow="0" dragToCol="0" dragToPage="0" showAll="0" defaultSubtotal="0"/>
    <pivotField dragToRow="0" dragToCol="0" dragToPage="0" showAll="0" defaultSubtotal="0"/>
    <pivotField showAll="0">
      <items count="5">
        <item x="0"/>
        <item x="1"/>
        <item x="2"/>
        <item x="3"/>
        <item t="default"/>
      </items>
    </pivotField>
    <pivotField axis="axisPage" showAll="0">
      <items count="15">
        <item x="0"/>
        <item x="1"/>
        <item x="2"/>
        <item x="3"/>
        <item x="4"/>
        <item x="5"/>
        <item x="6"/>
        <item x="7"/>
        <item x="8"/>
        <item x="9"/>
        <item x="10"/>
        <item x="11"/>
        <item x="12"/>
        <item x="13"/>
        <item t="default"/>
      </items>
    </pivotField>
    <pivotField axis="axisPage" showAll="0">
      <items count="7">
        <item x="1"/>
        <item x="2"/>
        <item x="3"/>
        <item x="4"/>
        <item x="0"/>
        <item x="5"/>
        <item t="default"/>
      </items>
    </pivotField>
    <pivotField axis="axisPage" showAll="0">
      <items count="4">
        <item x="1"/>
        <item x="0"/>
        <item x="2"/>
        <item t="default"/>
      </items>
    </pivotField>
    <pivotField dragToRow="0" dragToCol="0" dragToPage="0" showAll="0" defaultSubtotal="0"/>
    <pivotField dragToRow="0" dragToCol="0" dragToPage="0" showAll="0" defaultSubtotal="0"/>
    <pivotField dragToRow="0" dragToCol="0" dragToPage="0" showAll="0" defaultSubtotal="0"/>
    <pivotField dragToRow="0" dragToCol="0" dragToPage="0" showAll="0" defaultSubtotal="0"/>
    <pivotField dragToRow="0" dragToCol="0" dragToPage="0" showAll="0" defaultSubtotal="0"/>
  </pivotFields>
  <rowFields count="1">
    <field x="0"/>
  </rowFields>
  <rowItems count="16">
    <i>
      <x v="29"/>
    </i>
    <i>
      <x v="41"/>
    </i>
    <i>
      <x v="53"/>
    </i>
    <i>
      <x v="65"/>
    </i>
    <i>
      <x v="77"/>
    </i>
    <i>
      <x v="113"/>
    </i>
    <i>
      <x v="125"/>
    </i>
    <i>
      <x v="137"/>
    </i>
    <i>
      <x v="149"/>
    </i>
    <i>
      <x v="161"/>
    </i>
    <i>
      <x v="197"/>
    </i>
    <i>
      <x v="209"/>
    </i>
    <i>
      <x v="221"/>
    </i>
    <i>
      <x v="233"/>
    </i>
    <i>
      <x v="245"/>
    </i>
    <i t="grand">
      <x/>
    </i>
  </rowItems>
  <colFields count="1">
    <field x="59"/>
  </colFields>
  <colItems count="5">
    <i>
      <x/>
    </i>
    <i>
      <x v="1"/>
    </i>
    <i>
      <x v="2"/>
    </i>
    <i>
      <x v="3"/>
    </i>
    <i t="grand">
      <x/>
    </i>
  </colItems>
  <pageFields count="5">
    <pageField fld="2" hier="-1"/>
    <pageField fld="74" hier="-1"/>
    <pageField fld="73" hier="-1"/>
    <pageField fld="17" hier="-1"/>
    <pageField fld="72" hier="-1"/>
  </pageFields>
  <dataFields count="1">
    <dataField name="Somme de Points" fld="40" baseField="0" baseItem="0"/>
  </dataField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11.xml><?xml version="1.0" encoding="utf-8"?>
<pivotTableDefinition xmlns="http://schemas.openxmlformats.org/spreadsheetml/2006/main" xmlns:mc="http://schemas.openxmlformats.org/markup-compatibility/2006" xmlns:xr="http://schemas.microsoft.com/office/spreadsheetml/2014/revision" mc:Ignorable="xr" xr:uid="{14D39007-6DDD-4AFE-A55D-DBFA4A0251AC}" name="Tableau croisé dynamique1" cacheId="10" applyNumberFormats="0" applyBorderFormats="0" applyFontFormats="0" applyPatternFormats="0" applyAlignmentFormats="0" applyWidthHeightFormats="1" dataCaption="Valeurs" updatedVersion="6" minRefreshableVersion="3" useAutoFormatting="1" itemPrintTitles="1" createdVersion="6" indent="0" outline="1" outlineData="1" multipleFieldFilters="0">
  <location ref="A7:E23" firstHeaderRow="0" firstDataRow="1" firstDataCol="1" rowPageCount="5" colPageCount="1"/>
  <pivotFields count="80">
    <pivotField axis="axisRow" dataField="1" numFmtId="22" showAll="0" sortType="ascending">
      <items count="369">
        <item x="0"/>
        <item x="367"/>
        <item x="214"/>
        <item x="92"/>
        <item x="336"/>
        <item x="32"/>
        <item x="1"/>
        <item x="183"/>
        <item x="153"/>
        <item x="122"/>
        <item x="61"/>
        <item x="306"/>
        <item x="275"/>
        <item x="245"/>
        <item x="215"/>
        <item x="93"/>
        <item x="337"/>
        <item x="33"/>
        <item x="2"/>
        <item x="184"/>
        <item x="154"/>
        <item x="123"/>
        <item x="62"/>
        <item x="307"/>
        <item x="276"/>
        <item x="246"/>
        <item x="216"/>
        <item x="94"/>
        <item x="338"/>
        <item x="34"/>
        <item x="3"/>
        <item x="185"/>
        <item x="155"/>
        <item x="124"/>
        <item x="63"/>
        <item x="308"/>
        <item x="277"/>
        <item x="247"/>
        <item x="217"/>
        <item x="95"/>
        <item x="339"/>
        <item x="35"/>
        <item x="4"/>
        <item x="186"/>
        <item x="156"/>
        <item x="125"/>
        <item x="64"/>
        <item x="309"/>
        <item x="278"/>
        <item x="248"/>
        <item x="218"/>
        <item x="96"/>
        <item x="340"/>
        <item x="36"/>
        <item x="5"/>
        <item x="187"/>
        <item x="157"/>
        <item x="126"/>
        <item x="65"/>
        <item x="310"/>
        <item x="279"/>
        <item x="249"/>
        <item x="219"/>
        <item x="97"/>
        <item x="341"/>
        <item x="37"/>
        <item x="6"/>
        <item x="188"/>
        <item x="158"/>
        <item x="127"/>
        <item x="66"/>
        <item x="311"/>
        <item x="280"/>
        <item x="250"/>
        <item x="220"/>
        <item x="98"/>
        <item x="342"/>
        <item x="38"/>
        <item x="7"/>
        <item x="189"/>
        <item x="159"/>
        <item x="128"/>
        <item x="67"/>
        <item x="312"/>
        <item x="281"/>
        <item x="251"/>
        <item x="221"/>
        <item x="99"/>
        <item x="343"/>
        <item x="39"/>
        <item x="8"/>
        <item x="190"/>
        <item x="160"/>
        <item x="129"/>
        <item x="68"/>
        <item x="313"/>
        <item x="282"/>
        <item x="252"/>
        <item x="222"/>
        <item x="100"/>
        <item x="344"/>
        <item x="40"/>
        <item x="9"/>
        <item x="191"/>
        <item x="161"/>
        <item x="130"/>
        <item x="69"/>
        <item x="314"/>
        <item x="283"/>
        <item x="253"/>
        <item x="223"/>
        <item x="101"/>
        <item x="345"/>
        <item x="41"/>
        <item x="10"/>
        <item x="192"/>
        <item x="162"/>
        <item x="131"/>
        <item x="70"/>
        <item x="315"/>
        <item x="284"/>
        <item x="254"/>
        <item x="224"/>
        <item x="102"/>
        <item x="346"/>
        <item x="42"/>
        <item x="11"/>
        <item x="193"/>
        <item x="163"/>
        <item x="132"/>
        <item x="71"/>
        <item x="316"/>
        <item x="285"/>
        <item x="255"/>
        <item x="225"/>
        <item x="103"/>
        <item x="347"/>
        <item x="43"/>
        <item x="12"/>
        <item x="194"/>
        <item x="164"/>
        <item x="133"/>
        <item x="72"/>
        <item x="317"/>
        <item x="286"/>
        <item x="256"/>
        <item x="226"/>
        <item x="104"/>
        <item x="348"/>
        <item x="44"/>
        <item x="13"/>
        <item x="195"/>
        <item x="165"/>
        <item x="134"/>
        <item x="73"/>
        <item x="318"/>
        <item x="287"/>
        <item x="257"/>
        <item x="227"/>
        <item x="105"/>
        <item x="349"/>
        <item x="45"/>
        <item x="14"/>
        <item x="196"/>
        <item x="166"/>
        <item x="135"/>
        <item x="74"/>
        <item x="319"/>
        <item x="288"/>
        <item x="258"/>
        <item x="228"/>
        <item x="106"/>
        <item x="350"/>
        <item x="46"/>
        <item x="15"/>
        <item x="197"/>
        <item x="167"/>
        <item x="136"/>
        <item x="75"/>
        <item x="320"/>
        <item x="289"/>
        <item x="259"/>
        <item x="229"/>
        <item x="107"/>
        <item x="351"/>
        <item x="47"/>
        <item x="16"/>
        <item x="198"/>
        <item x="168"/>
        <item x="137"/>
        <item x="76"/>
        <item x="321"/>
        <item x="290"/>
        <item x="260"/>
        <item x="230"/>
        <item x="108"/>
        <item x="352"/>
        <item x="48"/>
        <item x="17"/>
        <item x="199"/>
        <item x="169"/>
        <item x="138"/>
        <item x="77"/>
        <item x="322"/>
        <item x="291"/>
        <item x="261"/>
        <item x="231"/>
        <item x="109"/>
        <item x="353"/>
        <item x="49"/>
        <item x="18"/>
        <item x="200"/>
        <item x="170"/>
        <item x="139"/>
        <item x="78"/>
        <item x="323"/>
        <item x="292"/>
        <item x="262"/>
        <item x="232"/>
        <item x="110"/>
        <item x="354"/>
        <item x="50"/>
        <item x="19"/>
        <item x="201"/>
        <item x="171"/>
        <item x="140"/>
        <item x="79"/>
        <item x="324"/>
        <item x="293"/>
        <item x="263"/>
        <item x="233"/>
        <item x="111"/>
        <item x="355"/>
        <item x="51"/>
        <item x="20"/>
        <item x="202"/>
        <item x="172"/>
        <item x="141"/>
        <item x="80"/>
        <item x="325"/>
        <item x="294"/>
        <item x="264"/>
        <item x="234"/>
        <item x="112"/>
        <item x="356"/>
        <item x="52"/>
        <item x="21"/>
        <item x="203"/>
        <item x="173"/>
        <item x="142"/>
        <item x="81"/>
        <item x="326"/>
        <item x="295"/>
        <item x="265"/>
        <item x="235"/>
        <item x="113"/>
        <item x="357"/>
        <item x="53"/>
        <item x="22"/>
        <item x="204"/>
        <item x="174"/>
        <item x="143"/>
        <item x="82"/>
        <item x="327"/>
        <item x="296"/>
        <item x="266"/>
        <item x="236"/>
        <item x="114"/>
        <item x="358"/>
        <item x="54"/>
        <item x="23"/>
        <item x="205"/>
        <item x="175"/>
        <item x="144"/>
        <item x="83"/>
        <item x="328"/>
        <item x="297"/>
        <item x="267"/>
        <item x="237"/>
        <item x="115"/>
        <item x="359"/>
        <item x="55"/>
        <item x="24"/>
        <item x="206"/>
        <item x="176"/>
        <item x="145"/>
        <item x="84"/>
        <item x="329"/>
        <item x="298"/>
        <item x="268"/>
        <item x="238"/>
        <item x="116"/>
        <item x="360"/>
        <item x="56"/>
        <item x="25"/>
        <item x="207"/>
        <item x="177"/>
        <item x="146"/>
        <item x="85"/>
        <item x="330"/>
        <item x="299"/>
        <item x="269"/>
        <item x="239"/>
        <item x="117"/>
        <item x="361"/>
        <item x="57"/>
        <item x="26"/>
        <item x="208"/>
        <item x="178"/>
        <item x="147"/>
        <item x="86"/>
        <item x="331"/>
        <item x="300"/>
        <item x="270"/>
        <item x="240"/>
        <item x="118"/>
        <item x="362"/>
        <item x="58"/>
        <item x="27"/>
        <item x="209"/>
        <item x="179"/>
        <item x="148"/>
        <item x="87"/>
        <item x="332"/>
        <item x="301"/>
        <item x="271"/>
        <item x="241"/>
        <item x="119"/>
        <item x="363"/>
        <item x="59"/>
        <item x="28"/>
        <item x="210"/>
        <item x="180"/>
        <item x="149"/>
        <item x="88"/>
        <item x="333"/>
        <item x="302"/>
        <item x="272"/>
        <item x="242"/>
        <item x="120"/>
        <item x="364"/>
        <item x="60"/>
        <item x="29"/>
        <item x="211"/>
        <item x="181"/>
        <item x="150"/>
        <item x="89"/>
        <item x="334"/>
        <item x="303"/>
        <item x="273"/>
        <item x="243"/>
        <item x="121"/>
        <item x="365"/>
        <item x="30"/>
        <item x="212"/>
        <item x="182"/>
        <item x="151"/>
        <item x="90"/>
        <item x="335"/>
        <item x="304"/>
        <item x="274"/>
        <item x="244"/>
        <item x="366"/>
        <item x="31"/>
        <item x="213"/>
        <item x="152"/>
        <item x="91"/>
        <item x="305"/>
        <item t="default"/>
      </items>
    </pivotField>
    <pivotField dataField="1" numFmtId="164" showAll="0"/>
    <pivotField axis="axisPage" showAll="0">
      <items count="6">
        <item m="1" x="2"/>
        <item x="0"/>
        <item m="1" x="4"/>
        <item m="1" x="3"/>
        <item x="1"/>
        <item t="default"/>
      </items>
    </pivotField>
    <pivotField showAll="0"/>
    <pivotField showAll="0"/>
    <pivotField numFmtId="165" showAll="0"/>
    <pivotField numFmtId="165" showAll="0"/>
    <pivotField numFmtId="165" showAll="0"/>
    <pivotField numFmtId="22" showAll="0"/>
    <pivotField numFmtId="165" showAll="0"/>
    <pivotField numFmtId="165" showAll="0"/>
    <pivotField numFmtId="165" showAll="0"/>
    <pivotField numFmtId="166" showAll="0"/>
    <pivotField showAll="0"/>
    <pivotField numFmtId="166" showAll="0"/>
    <pivotField numFmtId="166" showAll="0"/>
    <pivotField numFmtId="14" showAll="0"/>
    <pivotField axis="axisPage" showAll="0">
      <items count="12">
        <item m="1" x="9"/>
        <item m="1" x="4"/>
        <item m="1" x="10"/>
        <item m="1" x="5"/>
        <item m="1" x="8"/>
        <item m="1" x="7"/>
        <item m="1" x="3"/>
        <item m="1" x="6"/>
        <item x="0"/>
        <item x="2"/>
        <item x="1"/>
        <item t="default"/>
      </items>
    </pivotField>
    <pivotField numFmtId="174" showAll="0"/>
    <pivotField numFmtId="175" showAll="0"/>
    <pivotField dataField="1" showAll="0"/>
    <pivotField showAll="0"/>
    <pivotField numFmtId="167" showAll="0"/>
    <pivotField numFmtId="167" showAll="0"/>
    <pivotField showAll="0"/>
    <pivotField showAll="0"/>
    <pivotField numFmtId="166" showAll="0"/>
    <pivotField numFmtId="166" showAll="0"/>
    <pivotField numFmtId="22" showAll="0"/>
    <pivotField numFmtId="166" showAll="0"/>
    <pivotField numFmtId="166" showAll="0"/>
    <pivotField numFmtId="22" showAll="0"/>
    <pivotField numFmtId="43" showAll="0"/>
    <pivotField numFmtId="43" showAll="0"/>
    <pivotField showAll="0"/>
    <pivotField numFmtId="10" showAll="0"/>
    <pivotField showAll="0"/>
    <pivotField numFmtId="166" showAll="0"/>
    <pivotField numFmtId="166" showAll="0"/>
    <pivotField showAll="0"/>
    <pivotField numFmtId="167" showAll="0"/>
    <pivotField showAll="0"/>
    <pivotField showAll="0"/>
    <pivotField numFmtId="167"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dragToRow="0" dragToCol="0" dragToPage="0" showAll="0" defaultSubtotal="0"/>
    <pivotField dragToRow="0" dragToCol="0" dragToPage="0" showAll="0" defaultSubtotal="0"/>
    <pivotField showAll="0" defaultSubtotal="0">
      <items count="4">
        <item x="0"/>
        <item x="1"/>
        <item x="2"/>
        <item x="3"/>
      </items>
    </pivotField>
    <pivotField axis="axisPage" showAll="0" defaultSubtotal="0">
      <items count="14">
        <item sd="0" x="0"/>
        <item sd="0" x="1"/>
        <item sd="0" x="2"/>
        <item sd="0" x="3"/>
        <item sd="0" x="4"/>
        <item sd="0" x="5"/>
        <item sd="0" x="6"/>
        <item sd="0" x="7"/>
        <item sd="0" x="8"/>
        <item sd="0" x="9"/>
        <item x="10"/>
        <item x="11"/>
        <item sd="0" x="12"/>
        <item sd="0" x="13"/>
      </items>
    </pivotField>
    <pivotField axis="axisPage" showAll="0" defaultSubtotal="0">
      <items count="6">
        <item sd="0" x="1"/>
        <item sd="0" x="2"/>
        <item sd="0" x="3"/>
        <item x="4"/>
        <item x="0"/>
        <item x="5"/>
      </items>
    </pivotField>
    <pivotField axis="axisPage" showAll="0" defaultSubtotal="0">
      <items count="3">
        <item x="1"/>
        <item x="0"/>
        <item x="2"/>
      </items>
    </pivotField>
    <pivotField dragToRow="0" dragToCol="0" dragToPage="0" showAll="0" defaultSubtotal="0"/>
    <pivotField dragToRow="0" dragToCol="0" dragToPage="0" showAll="0" defaultSubtotal="0"/>
    <pivotField dragToRow="0" dragToCol="0" dragToPage="0" showAll="0" defaultSubtotal="0"/>
    <pivotField dragToRow="0" dragToCol="0" dragToPage="0" showAll="0" defaultSubtotal="0"/>
    <pivotField dragToRow="0" dragToCol="0" dragToPage="0" showAll="0" defaultSubtotal="0"/>
  </pivotFields>
  <rowFields count="1">
    <field x="0"/>
  </rowFields>
  <rowItems count="16">
    <i>
      <x v="29"/>
    </i>
    <i>
      <x v="41"/>
    </i>
    <i>
      <x v="53"/>
    </i>
    <i>
      <x v="65"/>
    </i>
    <i>
      <x v="77"/>
    </i>
    <i>
      <x v="113"/>
    </i>
    <i>
      <x v="125"/>
    </i>
    <i>
      <x v="137"/>
    </i>
    <i>
      <x v="149"/>
    </i>
    <i>
      <x v="161"/>
    </i>
    <i>
      <x v="197"/>
    </i>
    <i>
      <x v="209"/>
    </i>
    <i>
      <x v="221"/>
    </i>
    <i>
      <x v="233"/>
    </i>
    <i>
      <x v="245"/>
    </i>
    <i t="grand">
      <x/>
    </i>
  </rowItems>
  <colFields count="1">
    <field x="-2"/>
  </colFields>
  <colItems count="4">
    <i>
      <x/>
    </i>
    <i i="1">
      <x v="1"/>
    </i>
    <i i="2">
      <x v="2"/>
    </i>
    <i i="3">
      <x v="3"/>
    </i>
  </colItems>
  <pageFields count="5">
    <pageField fld="74" hier="-1"/>
    <pageField fld="73" hier="-1"/>
    <pageField fld="72" hier="-1"/>
    <pageField fld="17" hier="-1"/>
    <pageField fld="2" hier="-1"/>
  </pageFields>
  <dataFields count="4">
    <dataField name="Min. de Horodatage ouverture" fld="0" subtotal="min" baseField="48" baseItem="1" numFmtId="14"/>
    <dataField name="Max. de Horodatage ouverture" fld="0" subtotal="max" baseField="0" baseItem="289" numFmtId="173"/>
    <dataField name="Nombre de Position" fld="1" subtotal="count" baseField="0" baseItem="292"/>
    <dataField name="Somme de Nb de séance de trading" fld="20" baseField="0" baseItem="0"/>
  </dataField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12.xml><?xml version="1.0" encoding="utf-8"?>
<pivotTableDefinition xmlns="http://schemas.openxmlformats.org/spreadsheetml/2006/main" xmlns:mc="http://schemas.openxmlformats.org/markup-compatibility/2006" xmlns:xr="http://schemas.microsoft.com/office/spreadsheetml/2014/revision" mc:Ignorable="xr" xr:uid="{4C0ECDB3-6B59-4761-85BB-A4B2D6774710}" name="Tableau croisé dynamique2" cacheId="1" applyNumberFormats="0" applyBorderFormats="0" applyFontFormats="0" applyPatternFormats="0" applyAlignmentFormats="0" applyWidthHeightFormats="1" dataCaption="Valeurs" updatedVersion="6" minRefreshableVersion="3" useAutoFormatting="1" itemPrintTitles="1" createdVersion="6" indent="0" outline="1" outlineData="1" multipleFieldFilters="0" chartFormat="39">
  <location ref="A14:U16" firstHeaderRow="0" firstDataRow="1" firstDataCol="1"/>
  <pivotFields count="74">
    <pivotField axis="axisRow" numFmtId="22" showAll="0">
      <items count="553">
        <item m="1" x="483"/>
        <item m="1" x="373"/>
        <item m="1" x="432"/>
        <item m="1" x="427"/>
        <item m="1" x="374"/>
        <item m="1" x="339"/>
        <item m="1" x="162"/>
        <item m="1" x="491"/>
        <item m="1" x="384"/>
        <item m="1" x="428"/>
        <item m="1" x="475"/>
        <item m="1" x="303"/>
        <item m="1" x="488"/>
        <item m="1" x="501"/>
        <item m="1" x="542"/>
        <item m="1" x="198"/>
        <item m="1" x="281"/>
        <item m="1" x="340"/>
        <item m="1" x="270"/>
        <item m="1" x="221"/>
        <item m="1" x="319"/>
        <item m="1" x="391"/>
        <item m="1" x="414"/>
        <item m="1" x="379"/>
        <item m="1" x="376"/>
        <item m="1" x="209"/>
        <item m="1" x="249"/>
        <item m="1" x="334"/>
        <item m="1" x="453"/>
        <item m="1" x="541"/>
        <item m="1" x="364"/>
        <item m="1" x="514"/>
        <item m="1" x="549"/>
        <item m="1" x="208"/>
        <item m="1" x="517"/>
        <item m="1" x="388"/>
        <item m="1" x="273"/>
        <item m="1" x="529"/>
        <item m="1" x="218"/>
        <item m="1" x="450"/>
        <item m="1" x="381"/>
        <item m="1" x="320"/>
        <item m="1" x="255"/>
        <item m="1" x="445"/>
        <item m="1" x="324"/>
        <item m="1" x="458"/>
        <item m="1" x="236"/>
        <item m="1" x="494"/>
        <item m="1" x="160"/>
        <item m="1" x="493"/>
        <item m="1" x="454"/>
        <item m="1" x="338"/>
        <item m="1" x="228"/>
        <item m="1" x="295"/>
        <item m="1" x="342"/>
        <item m="1" x="285"/>
        <item m="1" x="490"/>
        <item m="1" x="348"/>
        <item m="1" x="416"/>
        <item m="1" x="401"/>
        <item m="1" x="509"/>
        <item m="1" x="247"/>
        <item m="1" x="343"/>
        <item m="1" x="250"/>
        <item m="1" x="441"/>
        <item m="1" x="283"/>
        <item m="1" x="286"/>
        <item m="1" x="371"/>
        <item m="1" x="308"/>
        <item m="1" x="377"/>
        <item m="1" x="367"/>
        <item m="1" x="368"/>
        <item m="1" x="231"/>
        <item m="1" x="530"/>
        <item m="1" x="429"/>
        <item m="1" x="523"/>
        <item m="1" x="426"/>
        <item m="1" x="246"/>
        <item m="1" x="443"/>
        <item m="1" x="193"/>
        <item m="1" x="259"/>
        <item m="1" x="479"/>
        <item m="1" x="254"/>
        <item m="1" x="386"/>
        <item m="1" x="545"/>
        <item m="1" x="291"/>
        <item m="1" x="525"/>
        <item m="1" x="183"/>
        <item m="1" x="352"/>
        <item m="1" x="257"/>
        <item m="1" x="547"/>
        <item m="1" x="355"/>
        <item m="1" x="511"/>
        <item m="1" x="499"/>
        <item m="1" x="447"/>
        <item m="1" x="402"/>
        <item m="1" x="468"/>
        <item m="1" x="197"/>
        <item m="1" x="378"/>
        <item m="1" x="431"/>
        <item m="1" x="311"/>
        <item m="1" x="406"/>
        <item m="1" x="179"/>
        <item m="1" x="245"/>
        <item m="1" x="267"/>
        <item m="1" x="370"/>
        <item m="1" x="477"/>
        <item m="1" x="206"/>
        <item m="1" x="265"/>
        <item m="1" x="356"/>
        <item m="1" x="506"/>
        <item m="1" x="333"/>
        <item m="1" x="476"/>
        <item m="1" x="184"/>
        <item m="1" x="171"/>
        <item m="1" x="478"/>
        <item m="1" x="482"/>
        <item m="1" x="537"/>
        <item m="1" x="439"/>
        <item m="1" x="519"/>
        <item m="1" x="276"/>
        <item m="1" x="462"/>
        <item m="1" x="436"/>
        <item m="1" x="158"/>
        <item m="1" x="174"/>
        <item m="1" x="165"/>
        <item m="1" x="318"/>
        <item m="1" x="229"/>
        <item m="1" x="539"/>
        <item m="1" x="546"/>
        <item m="1" x="203"/>
        <item m="1" x="202"/>
        <item m="1" x="260"/>
        <item m="1" x="469"/>
        <item m="1" x="317"/>
        <item m="1" x="417"/>
        <item m="1" x="244"/>
        <item m="1" x="307"/>
        <item m="1" x="522"/>
        <item m="1" x="262"/>
        <item m="1" x="353"/>
        <item m="1" x="201"/>
        <item m="1" x="486"/>
        <item m="1" x="467"/>
        <item m="1" x="215"/>
        <item m="1" x="461"/>
        <item m="1" x="362"/>
        <item m="1" x="272"/>
        <item m="1" x="168"/>
        <item m="1" x="359"/>
        <item m="1" x="418"/>
        <item m="1" x="189"/>
        <item m="1" x="466"/>
        <item m="1" x="204"/>
        <item m="1" x="240"/>
        <item m="1" x="210"/>
        <item m="1" x="487"/>
        <item m="1" x="230"/>
        <item m="1" x="526"/>
        <item m="1" x="212"/>
        <item m="1" x="350"/>
        <item m="1" x="433"/>
        <item m="1" x="440"/>
        <item m="1" x="312"/>
        <item m="1" x="315"/>
        <item m="1" x="398"/>
        <item m="1" x="322"/>
        <item m="1" x="390"/>
        <item m="1" x="451"/>
        <item m="1" x="178"/>
        <item m="1" x="505"/>
        <item m="1" x="314"/>
        <item m="1" x="346"/>
        <item m="1" x="446"/>
        <item m="1" x="403"/>
        <item m="1" x="538"/>
        <item m="1" x="195"/>
        <item m="1" x="495"/>
        <item m="1" x="438"/>
        <item m="1" x="520"/>
        <item m="1" x="397"/>
        <item m="1" x="415"/>
        <item m="1" x="188"/>
        <item m="1" x="354"/>
        <item m="1" x="345"/>
        <item m="1" x="256"/>
        <item m="1" x="513"/>
        <item m="1" x="172"/>
        <item m="1" x="365"/>
        <item m="1" x="358"/>
        <item m="1" x="489"/>
        <item m="1" x="161"/>
        <item m="1" x="392"/>
        <item m="1" x="471"/>
        <item m="1" x="167"/>
        <item m="1" x="232"/>
        <item m="1" x="366"/>
        <item m="1" x="396"/>
        <item m="1" x="296"/>
        <item m="1" x="399"/>
        <item m="1" x="211"/>
        <item m="1" x="309"/>
        <item m="1" x="349"/>
        <item m="1" x="279"/>
        <item m="1" x="300"/>
        <item m="1" x="237"/>
        <item m="1" x="536"/>
        <item m="1" x="264"/>
        <item m="1" x="299"/>
        <item m="1" x="503"/>
        <item m="1" x="298"/>
        <item m="1" x="394"/>
        <item m="1" x="492"/>
        <item m="1" x="409"/>
        <item m="1" x="460"/>
        <item m="1" x="316"/>
        <item m="1" x="405"/>
        <item m="1" x="351"/>
        <item m="1" x="543"/>
        <item m="1" x="411"/>
        <item m="1" x="408"/>
        <item m="1" x="382"/>
        <item m="1" x="159"/>
        <item m="1" x="380"/>
        <item m="1" x="274"/>
        <item m="1" x="521"/>
        <item m="1" x="180"/>
        <item m="1" x="357"/>
        <item m="1" x="452"/>
        <item m="1" x="268"/>
        <item m="1" x="347"/>
        <item m="1" x="331"/>
        <item m="1" x="413"/>
        <item m="1" x="170"/>
        <item m="1" x="404"/>
        <item m="1" x="516"/>
        <item m="1" x="383"/>
        <item m="1" x="412"/>
        <item m="1" x="182"/>
        <item m="1" x="275"/>
        <item m="1" x="435"/>
        <item m="1" x="164"/>
        <item m="1" x="282"/>
        <item m="1" x="248"/>
        <item m="1" x="484"/>
        <item m="1" x="258"/>
        <item m="1" x="284"/>
        <item m="1" x="234"/>
        <item m="1" x="548"/>
        <item m="1" x="372"/>
        <item m="1" x="498"/>
        <item m="1" x="540"/>
        <item m="1" x="292"/>
        <item m="1" x="277"/>
        <item m="1" x="323"/>
        <item m="1" x="233"/>
        <item m="1" x="527"/>
        <item m="1" x="387"/>
        <item m="1" x="269"/>
        <item m="1" x="194"/>
        <item m="1" x="500"/>
        <item m="1" x="191"/>
        <item m="1" x="455"/>
        <item m="1" x="196"/>
        <item m="1" x="533"/>
        <item m="1" x="293"/>
        <item m="1" x="328"/>
        <item m="1" x="341"/>
        <item m="1" x="185"/>
        <item m="1" x="176"/>
        <item m="1" x="306"/>
        <item m="1" x="271"/>
        <item m="1" x="216"/>
        <item m="1" x="205"/>
        <item m="1" x="289"/>
        <item m="1" x="226"/>
        <item m="1" x="472"/>
        <item m="1" x="175"/>
        <item m="1" x="363"/>
        <item m="1" x="437"/>
        <item m="1" x="463"/>
        <item m="1" x="305"/>
        <item m="1" x="166"/>
        <item m="1" x="181"/>
        <item m="1" x="507"/>
        <item m="1" x="321"/>
        <item m="1" x="512"/>
        <item m="1" x="219"/>
        <item m="1" x="227"/>
        <item m="1" x="242"/>
        <item m="1" x="385"/>
        <item m="1" x="222"/>
        <item m="1" x="508"/>
        <item m="1" x="449"/>
        <item m="1" x="421"/>
        <item m="1" x="224"/>
        <item m="1" x="474"/>
        <item m="1" x="470"/>
        <item m="1" x="344"/>
        <item m="1" x="220"/>
        <item m="1" x="481"/>
        <item m="1" x="369"/>
        <item m="1" x="422"/>
        <item m="1" x="173"/>
        <item m="1" x="290"/>
        <item m="1" x="278"/>
        <item m="1" x="186"/>
        <item m="1" x="419"/>
        <item m="1" x="297"/>
        <item m="1" x="518"/>
        <item m="1" x="444"/>
        <item m="1" x="510"/>
        <item m="1" x="485"/>
        <item m="1" x="251"/>
        <item m="1" x="217"/>
        <item m="1" x="480"/>
        <item m="1" x="360"/>
        <item m="1" x="326"/>
        <item m="1" x="280"/>
        <item m="1" x="442"/>
        <item m="1" x="464"/>
        <item m="1" x="239"/>
        <item m="1" x="400"/>
        <item m="1" x="223"/>
        <item m="1" x="190"/>
        <item m="1" x="502"/>
        <item m="1" x="459"/>
        <item m="1" x="424"/>
        <item m="1" x="515"/>
        <item m="1" x="393"/>
        <item m="1" x="532"/>
        <item m="1" x="214"/>
        <item m="1" x="456"/>
        <item m="1" x="327"/>
        <item m="1" x="243"/>
        <item m="1" x="361"/>
        <item m="1" x="336"/>
        <item m="1" x="253"/>
        <item m="1" x="304"/>
        <item m="1" x="395"/>
        <item m="1" x="550"/>
        <item m="1" x="448"/>
        <item m="1" x="163"/>
        <item m="1" x="288"/>
        <item m="1" x="294"/>
        <item m="1" x="313"/>
        <item m="1" x="200"/>
        <item m="1" x="207"/>
        <item m="1" x="235"/>
        <item m="1" x="301"/>
        <item m="1" x="337"/>
        <item m="1" x="213"/>
        <item m="1" x="266"/>
        <item m="1" x="261"/>
        <item m="1" x="169"/>
        <item m="1" x="420"/>
        <item m="1" x="423"/>
        <item m="1" x="534"/>
        <item m="1" x="473"/>
        <item m="1" x="335"/>
        <item m="1" x="551"/>
        <item m="1" x="199"/>
        <item m="1" x="457"/>
        <item m="1" x="192"/>
        <item m="1" x="263"/>
        <item m="1" x="241"/>
        <item m="1" x="310"/>
        <item m="1" x="535"/>
        <item m="1" x="187"/>
        <item m="1" x="434"/>
        <item m="1" x="287"/>
        <item m="1" x="177"/>
        <item m="1" x="375"/>
        <item m="1" x="225"/>
        <item m="1" x="389"/>
        <item m="1" x="528"/>
        <item m="1" x="325"/>
        <item m="1" x="425"/>
        <item m="1" x="410"/>
        <item m="1" x="524"/>
        <item m="1" x="330"/>
        <item m="1" x="544"/>
        <item m="1" x="496"/>
        <item m="1" x="238"/>
        <item m="1" x="497"/>
        <item m="1" x="430"/>
        <item m="1" x="329"/>
        <item m="1" x="504"/>
        <item m="1" x="531"/>
        <item m="1" x="252"/>
        <item m="1" x="302"/>
        <item m="1" x="465"/>
        <item m="1" x="407"/>
        <item m="1" x="332"/>
        <item x="0"/>
        <item x="1"/>
        <item x="2"/>
        <item x="3"/>
        <item x="4"/>
        <item x="5"/>
        <item x="6"/>
        <item x="7"/>
        <item x="8"/>
        <item x="9"/>
        <item x="10"/>
        <item x="11"/>
        <item x="12"/>
        <item x="13"/>
        <item x="14"/>
        <item x="15"/>
        <item x="16"/>
        <item x="17"/>
        <item x="18"/>
        <item x="19"/>
        <item x="20"/>
        <item x="21"/>
        <item x="22"/>
        <item x="23"/>
        <item x="24"/>
        <item x="25"/>
        <item x="26"/>
        <item x="27"/>
        <item x="28"/>
        <item x="29"/>
        <item x="30"/>
        <item x="31"/>
        <item x="32"/>
        <item x="33"/>
        <item x="34"/>
        <item x="35"/>
        <item x="36"/>
        <item x="37"/>
        <item x="38"/>
        <item x="39"/>
        <item x="40"/>
        <item x="41"/>
        <item x="42"/>
        <item x="43"/>
        <item x="44"/>
        <item x="45"/>
        <item x="46"/>
        <item x="47"/>
        <item x="48"/>
        <item x="49"/>
        <item x="50"/>
        <item x="51"/>
        <item x="52"/>
        <item x="53"/>
        <item x="54"/>
        <item x="55"/>
        <item x="56"/>
        <item x="57"/>
        <item x="58"/>
        <item x="154"/>
        <item x="144"/>
        <item x="145"/>
        <item x="146"/>
        <item x="147"/>
        <item x="148"/>
        <item x="149"/>
        <item x="150"/>
        <item x="151"/>
        <item x="152"/>
        <item x="153"/>
        <item x="155"/>
        <item x="156"/>
        <item x="59"/>
        <item x="60"/>
        <item x="61"/>
        <item x="62"/>
        <item x="63"/>
        <item x="64"/>
        <item x="65"/>
        <item x="66"/>
        <item x="67"/>
        <item x="68"/>
        <item x="69"/>
        <item x="70"/>
        <item x="71"/>
        <item x="72"/>
        <item x="73"/>
        <item x="74"/>
        <item x="75"/>
        <item x="76"/>
        <item x="77"/>
        <item x="78"/>
        <item x="79"/>
        <item x="80"/>
        <item x="81"/>
        <item x="82"/>
        <item x="83"/>
        <item x="84"/>
        <item x="85"/>
        <item x="86"/>
        <item x="87"/>
        <item x="88"/>
        <item x="89"/>
        <item x="90"/>
        <item x="91"/>
        <item x="92"/>
        <item x="93"/>
        <item x="94"/>
        <item x="95"/>
        <item x="96"/>
        <item x="97"/>
        <item x="98"/>
        <item x="99"/>
        <item x="100"/>
        <item x="101"/>
        <item x="102"/>
        <item x="103"/>
        <item x="104"/>
        <item x="105"/>
        <item x="106"/>
        <item x="107"/>
        <item x="108"/>
        <item x="109"/>
        <item x="110"/>
        <item x="111"/>
        <item x="112"/>
        <item x="113"/>
        <item x="114"/>
        <item x="115"/>
        <item x="116"/>
        <item x="117"/>
        <item x="118"/>
        <item x="119"/>
        <item x="120"/>
        <item x="121"/>
        <item x="122"/>
        <item x="123"/>
        <item x="124"/>
        <item x="125"/>
        <item x="126"/>
        <item x="127"/>
        <item x="128"/>
        <item x="129"/>
        <item x="130"/>
        <item x="131"/>
        <item x="132"/>
        <item x="133"/>
        <item x="134"/>
        <item x="135"/>
        <item x="136"/>
        <item x="137"/>
        <item x="138"/>
        <item x="139"/>
        <item x="140"/>
        <item x="141"/>
        <item x="142"/>
        <item x="143"/>
        <item x="157"/>
        <item t="default"/>
      </items>
    </pivotField>
    <pivotField numFmtId="164" showAll="0"/>
    <pivotField showAll="0"/>
    <pivotField showAll="0"/>
    <pivotField showAll="0"/>
    <pivotField numFmtId="165" showAll="0"/>
    <pivotField numFmtId="165" showAll="0"/>
    <pivotField numFmtId="165" showAll="0"/>
    <pivotField numFmtId="22" showAll="0"/>
    <pivotField numFmtId="165" showAll="0"/>
    <pivotField numFmtId="165" showAll="0"/>
    <pivotField numFmtId="165" showAll="0"/>
    <pivotField numFmtId="166" showAll="0"/>
    <pivotField showAll="0"/>
    <pivotField numFmtId="166" showAll="0"/>
    <pivotField numFmtId="166" showAll="0"/>
    <pivotField numFmtId="14" showAll="0">
      <items count="52">
        <item h="1" m="1" x="39"/>
        <item h="1" m="1" x="30"/>
        <item h="1" m="1" x="46"/>
        <item h="1" m="1" x="24"/>
        <item h="1" m="1" x="37"/>
        <item h="1" m="1" x="17"/>
        <item h="1" m="1" x="29"/>
        <item h="1" m="1" x="44"/>
        <item h="1" m="1" x="22"/>
        <item h="1" m="1" x="35"/>
        <item h="1" m="1" x="15"/>
        <item h="1" m="1" x="27"/>
        <item h="1" m="1" x="41"/>
        <item h="1" m="1" x="20"/>
        <item h="1" m="1" x="34"/>
        <item h="1" m="1" x="45"/>
        <item h="1" m="1" x="16"/>
        <item h="1" m="1" x="31"/>
        <item h="1" m="1" x="49"/>
        <item h="1" m="1" x="42"/>
        <item h="1" m="1" x="23"/>
        <item h="1" m="1" x="36"/>
        <item h="1" m="1" x="50"/>
        <item h="1" m="1" x="28"/>
        <item h="1" m="1" x="43"/>
        <item h="1" m="1" x="21"/>
        <item h="1" m="1" x="48"/>
        <item h="1" m="1" x="26"/>
        <item h="1" m="1" x="40"/>
        <item h="1" m="1" x="19"/>
        <item h="1" m="1" x="33"/>
        <item h="1" m="1" x="47"/>
        <item h="1" m="1" x="25"/>
        <item h="1" m="1" x="38"/>
        <item h="1" m="1" x="18"/>
        <item h="1" m="1" x="32"/>
        <item h="1" x="0"/>
        <item h="1" x="1"/>
        <item h="1" x="2"/>
        <item h="1" x="3"/>
        <item h="1" x="4"/>
        <item h="1" x="5"/>
        <item h="1" x="6"/>
        <item h="1" x="7"/>
        <item h="1" x="8"/>
        <item h="1" x="9"/>
        <item h="1" x="10"/>
        <item h="1" x="11"/>
        <item h="1" x="12"/>
        <item h="1" x="13"/>
        <item x="14"/>
        <item t="default"/>
      </items>
    </pivotField>
    <pivotField showAll="0"/>
    <pivotField numFmtId="174" showAll="0"/>
    <pivotField numFmtId="175" showAll="0"/>
    <pivotField showAll="0"/>
    <pivotField showAll="0"/>
    <pivotField numFmtId="167" showAll="0"/>
    <pivotField numFmtId="167" showAll="0"/>
    <pivotField showAll="0"/>
    <pivotField showAll="0"/>
    <pivotField numFmtId="166" showAll="0"/>
    <pivotField numFmtId="166" showAll="0"/>
    <pivotField numFmtId="22" showAll="0"/>
    <pivotField numFmtId="166" showAll="0"/>
    <pivotField numFmtId="166" showAll="0"/>
    <pivotField numFmtId="22" showAll="0"/>
    <pivotField numFmtId="43" showAll="0"/>
    <pivotField numFmtId="43" showAll="0"/>
    <pivotField showAll="0"/>
    <pivotField numFmtId="10" showAll="0"/>
    <pivotField showAll="0"/>
    <pivotField numFmtId="166" showAll="0"/>
    <pivotField numFmtId="166" showAll="0"/>
    <pivotField dataField="1" numFmtId="10" showAll="0"/>
    <pivotField dataField="1" numFmtId="167" showAll="0"/>
    <pivotField dataField="1" numFmtId="167" showAll="0"/>
    <pivotField dataField="1" numFmtId="167" showAll="0"/>
    <pivotField numFmtId="167" showAll="0"/>
    <pivotField dataField="1" showAll="0"/>
    <pivotField dataField="1" showAll="0"/>
    <pivotField showAll="0"/>
    <pivotField showAll="0"/>
    <pivotField showAll="0"/>
    <pivotField showAll="0"/>
    <pivotField showAll="0"/>
    <pivotField showAll="0"/>
    <pivotField showAll="0"/>
    <pivotField showAll="0"/>
    <pivotField showAll="0"/>
    <pivotField showAll="0"/>
    <pivotField dataField="1" numFmtId="168" showAll="0"/>
    <pivotField dataField="1" showAll="0"/>
    <pivotField showAll="0"/>
    <pivotField dataField="1" showAll="0"/>
    <pivotField dataField="1" showAll="0"/>
    <pivotField dataField="1" showAll="0"/>
    <pivotField showAll="0"/>
    <pivotField showAll="0"/>
    <pivotField showAll="0"/>
    <pivotField showAll="0"/>
    <pivotField showAll="0"/>
    <pivotField showAll="0"/>
    <pivotField showAll="0"/>
    <pivotField dragToRow="0" dragToCol="0" dragToPage="0" showAll="0" defaultSubtotal="0"/>
    <pivotField dragToRow="0" dragToCol="0" dragToPage="0" showAll="0" defaultSubtotal="0"/>
    <pivotField dragToRow="0" dragToCol="0" dragToPage="0" showAll="0" defaultSubtotal="0"/>
    <pivotField dataField="1" dragToRow="0" dragToCol="0" dragToPage="0" showAll="0" defaultSubtotal="0"/>
    <pivotField dataField="1" dragToRow="0" dragToCol="0" dragToPage="0" showAll="0" defaultSubtotal="0"/>
  </pivotFields>
  <rowFields count="1">
    <field x="0"/>
  </rowFields>
  <rowItems count="2">
    <i>
      <x v="551"/>
    </i>
    <i t="grand">
      <x/>
    </i>
  </rowItems>
  <colFields count="1">
    <field x="-2"/>
  </colFields>
  <colItems count="20">
    <i>
      <x/>
    </i>
    <i i="1">
      <x v="1"/>
    </i>
    <i i="2">
      <x v="2"/>
    </i>
    <i i="3">
      <x v="3"/>
    </i>
    <i i="4">
      <x v="4"/>
    </i>
    <i i="5">
      <x v="5"/>
    </i>
    <i i="6">
      <x v="6"/>
    </i>
    <i i="7">
      <x v="7"/>
    </i>
    <i i="8">
      <x v="8"/>
    </i>
    <i i="9">
      <x v="9"/>
    </i>
    <i i="10">
      <x v="10"/>
    </i>
    <i i="11">
      <x v="11"/>
    </i>
    <i i="12">
      <x v="12"/>
    </i>
    <i i="13">
      <x v="13"/>
    </i>
    <i i="14">
      <x v="14"/>
    </i>
    <i i="15">
      <x v="15"/>
    </i>
    <i i="16">
      <x v="16"/>
    </i>
    <i i="17">
      <x v="17"/>
    </i>
    <i i="18">
      <x v="18"/>
    </i>
    <i i="19">
      <x v="19"/>
    </i>
  </colItems>
  <dataFields count="20">
    <dataField name="Somme de Points" fld="40" baseField="0" baseItem="0"/>
    <dataField name="Points cumulés" fld="40" showDataAs="runTotal" baseField="0" baseItem="82"/>
    <dataField name="Variationjour+ Table" fld="72" baseField="0" baseItem="42" numFmtId="10"/>
    <dataField name="Variationjour- Table" fld="73" baseField="0" baseItem="0" numFmtId="10"/>
    <dataField name="Min. de Drawdown" fld="39" subtotal="min" baseField="0" baseItem="451" numFmtId="10"/>
    <dataField name="Conforme " fld="44" baseField="0" baseItem="80"/>
    <dataField name="Non conforme " fld="45" baseField="0" baseItem="80"/>
    <dataField name="Somme de Gagnant" fld="60" baseField="0" baseItem="1"/>
    <dataField name="Somme de Perdant" fld="61" baseField="0" baseItem="0"/>
    <dataField name="Nombre de Résultat" fld="59" subtotal="count" baseField="0" baseItem="0"/>
    <dataField name="Somme de Points Gagnant" fld="41" baseField="0" baseItem="0"/>
    <dataField name="Somme de Points perdants" fld="42" baseField="0" baseItem="0"/>
    <dataField name="Moyenne de Points Gagnant" fld="41" subtotal="average" baseField="0" baseItem="39"/>
    <dataField name="Moyenne de Points perdants" fld="42" subtotal="average" baseField="0" baseItem="39"/>
    <dataField name="Min. de Points Gagnant" fld="41" subtotal="min" baseField="0" baseItem="39"/>
    <dataField name="Min. de Points perdants" fld="42" subtotal="min" baseField="0" baseItem="39"/>
    <dataField name="Max. de Points Gagnant" fld="41" subtotal="max" baseField="0" baseItem="31"/>
    <dataField name="Max. de Points perdants" fld="42" subtotal="max" baseField="0" baseItem="31"/>
    <dataField name="Moyenne de Note du trade" fld="57" subtotal="average" baseField="0" baseItem="82"/>
    <dataField name="Somme de Levier" fld="56" baseField="0" baseItem="0"/>
  </dataFields>
  <chartFormats count="96">
    <chartFormat chart="23" format="14" series="1">
      <pivotArea type="data" outline="0" fieldPosition="0">
        <references count="1">
          <reference field="4294967294" count="1" selected="0">
            <x v="1"/>
          </reference>
        </references>
      </pivotArea>
    </chartFormat>
    <chartFormat chart="23" format="18" series="1">
      <pivotArea type="data" outline="0" fieldPosition="0">
        <references count="1">
          <reference field="4294967294" count="1" selected="0">
            <x v="2"/>
          </reference>
        </references>
      </pivotArea>
    </chartFormat>
    <chartFormat chart="23" format="19" series="1">
      <pivotArea type="data" outline="0" fieldPosition="0">
        <references count="1">
          <reference field="4294967294" count="1" selected="0">
            <x v="3"/>
          </reference>
        </references>
      </pivotArea>
    </chartFormat>
    <chartFormat chart="33" format="6" series="1">
      <pivotArea type="data" outline="0" fieldPosition="0">
        <references count="1">
          <reference field="4294967294" count="1" selected="0">
            <x v="1"/>
          </reference>
        </references>
      </pivotArea>
    </chartFormat>
    <chartFormat chart="33" format="9" series="1">
      <pivotArea type="data" outline="0" fieldPosition="0">
        <references count="1">
          <reference field="4294967294" count="1" selected="0">
            <x v="2"/>
          </reference>
        </references>
      </pivotArea>
    </chartFormat>
    <chartFormat chart="33" format="10" series="1">
      <pivotArea type="data" outline="0" fieldPosition="0">
        <references count="1">
          <reference field="4294967294" count="1" selected="0">
            <x v="3"/>
          </reference>
        </references>
      </pivotArea>
    </chartFormat>
    <chartFormat chart="36" format="0" series="1">
      <pivotArea type="data" outline="0" fieldPosition="0">
        <references count="1">
          <reference field="4294967294" count="1" selected="0">
            <x v="1"/>
          </reference>
        </references>
      </pivotArea>
    </chartFormat>
    <chartFormat chart="36" format="3" series="1">
      <pivotArea type="data" outline="0" fieldPosition="0">
        <references count="1">
          <reference field="4294967294" count="1" selected="0">
            <x v="2"/>
          </reference>
        </references>
      </pivotArea>
    </chartFormat>
    <chartFormat chart="36" format="4" series="1">
      <pivotArea type="data" outline="0" fieldPosition="0">
        <references count="1">
          <reference field="4294967294" count="1" selected="0">
            <x v="3"/>
          </reference>
        </references>
      </pivotArea>
    </chartFormat>
    <chartFormat chart="36" format="6" series="1">
      <pivotArea type="data" outline="0" fieldPosition="0">
        <references count="1">
          <reference field="4294967294" count="1" selected="0">
            <x v="5"/>
          </reference>
        </references>
      </pivotArea>
    </chartFormat>
    <chartFormat chart="36" format="7" series="1">
      <pivotArea type="data" outline="0" fieldPosition="0">
        <references count="1">
          <reference field="4294967294" count="1" selected="0">
            <x v="6"/>
          </reference>
        </references>
      </pivotArea>
    </chartFormat>
    <chartFormat chart="37" format="8" series="1">
      <pivotArea type="data" outline="0" fieldPosition="0">
        <references count="1">
          <reference field="4294967294" count="1" selected="0">
            <x v="1"/>
          </reference>
        </references>
      </pivotArea>
    </chartFormat>
    <chartFormat chart="37" format="11" series="1">
      <pivotArea type="data" outline="0" fieldPosition="0">
        <references count="1">
          <reference field="4294967294" count="1" selected="0">
            <x v="2"/>
          </reference>
        </references>
      </pivotArea>
    </chartFormat>
    <chartFormat chart="37" format="12" series="1">
      <pivotArea type="data" outline="0" fieldPosition="0">
        <references count="1">
          <reference field="4294967294" count="1" selected="0">
            <x v="3"/>
          </reference>
        </references>
      </pivotArea>
    </chartFormat>
    <chartFormat chart="37" format="14" series="1">
      <pivotArea type="data" outline="0" fieldPosition="0">
        <references count="1">
          <reference field="4294967294" count="1" selected="0">
            <x v="5"/>
          </reference>
        </references>
      </pivotArea>
    </chartFormat>
    <chartFormat chart="37" format="15" series="1">
      <pivotArea type="data" outline="0" fieldPosition="0">
        <references count="1">
          <reference field="4294967294" count="1" selected="0">
            <x v="6"/>
          </reference>
        </references>
      </pivotArea>
    </chartFormat>
    <chartFormat chart="8" format="5" series="1">
      <pivotArea type="data" outline="0" fieldPosition="0">
        <references count="1">
          <reference field="4294967294" count="1" selected="0">
            <x v="0"/>
          </reference>
        </references>
      </pivotArea>
    </chartFormat>
    <chartFormat chart="8" format="6" series="1">
      <pivotArea type="data" outline="0" fieldPosition="0">
        <references count="1">
          <reference field="4294967294" count="1" selected="0">
            <x v="1"/>
          </reference>
        </references>
      </pivotArea>
    </chartFormat>
    <chartFormat chart="8" format="7" series="1">
      <pivotArea type="data" outline="0" fieldPosition="0">
        <references count="1">
          <reference field="4294967294" count="1" selected="0">
            <x v="2"/>
          </reference>
        </references>
      </pivotArea>
    </chartFormat>
    <chartFormat chart="8" format="8" series="1">
      <pivotArea type="data" outline="0" fieldPosition="0">
        <references count="1">
          <reference field="4294967294" count="1" selected="0">
            <x v="3"/>
          </reference>
        </references>
      </pivotArea>
    </chartFormat>
    <chartFormat chart="8" format="10" series="1">
      <pivotArea type="data" outline="0" fieldPosition="0">
        <references count="1">
          <reference field="4294967294" count="1" selected="0">
            <x v="5"/>
          </reference>
        </references>
      </pivotArea>
    </chartFormat>
    <chartFormat chart="8" format="11" series="1">
      <pivotArea type="data" outline="0" fieldPosition="0">
        <references count="1">
          <reference field="4294967294" count="1" selected="0">
            <x v="6"/>
          </reference>
        </references>
      </pivotArea>
    </chartFormat>
    <chartFormat chart="8" format="12" series="1">
      <pivotArea type="data" outline="0" fieldPosition="0">
        <references count="1">
          <reference field="4294967294" count="1" selected="0">
            <x v="7"/>
          </reference>
        </references>
      </pivotArea>
    </chartFormat>
    <chartFormat chart="8" format="13" series="1">
      <pivotArea type="data" outline="0" fieldPosition="0">
        <references count="1">
          <reference field="4294967294" count="1" selected="0">
            <x v="8"/>
          </reference>
        </references>
      </pivotArea>
    </chartFormat>
    <chartFormat chart="8" format="14" series="1">
      <pivotArea type="data" outline="0" fieldPosition="0">
        <references count="1">
          <reference field="4294967294" count="1" selected="0">
            <x v="9"/>
          </reference>
        </references>
      </pivotArea>
    </chartFormat>
    <chartFormat chart="8" format="15" series="1">
      <pivotArea type="data" outline="0" fieldPosition="0">
        <references count="1">
          <reference field="4294967294" count="1" selected="0">
            <x v="10"/>
          </reference>
        </references>
      </pivotArea>
    </chartFormat>
    <chartFormat chart="8" format="16" series="1">
      <pivotArea type="data" outline="0" fieldPosition="0">
        <references count="1">
          <reference field="4294967294" count="1" selected="0">
            <x v="11"/>
          </reference>
        </references>
      </pivotArea>
    </chartFormat>
    <chartFormat chart="8" format="17" series="1">
      <pivotArea type="data" outline="0" fieldPosition="0">
        <references count="1">
          <reference field="4294967294" count="1" selected="0">
            <x v="12"/>
          </reference>
        </references>
      </pivotArea>
    </chartFormat>
    <chartFormat chart="8" format="18" series="1">
      <pivotArea type="data" outline="0" fieldPosition="0">
        <references count="1">
          <reference field="4294967294" count="1" selected="0">
            <x v="13"/>
          </reference>
        </references>
      </pivotArea>
    </chartFormat>
    <chartFormat chart="8" format="19" series="1">
      <pivotArea type="data" outline="0" fieldPosition="0">
        <references count="1">
          <reference field="4294967294" count="1" selected="0">
            <x v="14"/>
          </reference>
        </references>
      </pivotArea>
    </chartFormat>
    <chartFormat chart="8" format="20" series="1">
      <pivotArea type="data" outline="0" fieldPosition="0">
        <references count="1">
          <reference field="4294967294" count="1" selected="0">
            <x v="15"/>
          </reference>
        </references>
      </pivotArea>
    </chartFormat>
    <chartFormat chart="8" format="21" series="1">
      <pivotArea type="data" outline="0" fieldPosition="0">
        <references count="1">
          <reference field="4294967294" count="1" selected="0">
            <x v="16"/>
          </reference>
        </references>
      </pivotArea>
    </chartFormat>
    <chartFormat chart="8" format="22" series="1">
      <pivotArea type="data" outline="0" fieldPosition="0">
        <references count="1">
          <reference field="4294967294" count="1" selected="0">
            <x v="17"/>
          </reference>
        </references>
      </pivotArea>
    </chartFormat>
    <chartFormat chart="8" format="23" series="1">
      <pivotArea type="data" outline="0" fieldPosition="0">
        <references count="1">
          <reference field="4294967294" count="1" selected="0">
            <x v="18"/>
          </reference>
        </references>
      </pivotArea>
    </chartFormat>
    <chartFormat chart="15" format="6" series="1">
      <pivotArea type="data" outline="0" fieldPosition="0">
        <references count="1">
          <reference field="4294967294" count="1" selected="0">
            <x v="0"/>
          </reference>
        </references>
      </pivotArea>
    </chartFormat>
    <chartFormat chart="15" format="7" series="1">
      <pivotArea type="data" outline="0" fieldPosition="0">
        <references count="1">
          <reference field="4294967294" count="1" selected="0">
            <x v="1"/>
          </reference>
        </references>
      </pivotArea>
    </chartFormat>
    <chartFormat chart="15" format="8" series="1">
      <pivotArea type="data" outline="0" fieldPosition="0">
        <references count="1">
          <reference field="4294967294" count="1" selected="0">
            <x v="2"/>
          </reference>
        </references>
      </pivotArea>
    </chartFormat>
    <chartFormat chart="15" format="9" series="1">
      <pivotArea type="data" outline="0" fieldPosition="0">
        <references count="1">
          <reference field="4294967294" count="1" selected="0">
            <x v="3"/>
          </reference>
        </references>
      </pivotArea>
    </chartFormat>
    <chartFormat chart="15" format="11" series="1">
      <pivotArea type="data" outline="0" fieldPosition="0">
        <references count="1">
          <reference field="4294967294" count="1" selected="0">
            <x v="5"/>
          </reference>
        </references>
      </pivotArea>
    </chartFormat>
    <chartFormat chart="15" format="12" series="1">
      <pivotArea type="data" outline="0" fieldPosition="0">
        <references count="1">
          <reference field="4294967294" count="1" selected="0">
            <x v="6"/>
          </reference>
        </references>
      </pivotArea>
    </chartFormat>
    <chartFormat chart="15" format="13" series="1">
      <pivotArea type="data" outline="0" fieldPosition="0">
        <references count="1">
          <reference field="4294967294" count="1" selected="0">
            <x v="7"/>
          </reference>
        </references>
      </pivotArea>
    </chartFormat>
    <chartFormat chart="15" format="14" series="1">
      <pivotArea type="data" outline="0" fieldPosition="0">
        <references count="1">
          <reference field="4294967294" count="1" selected="0">
            <x v="8"/>
          </reference>
        </references>
      </pivotArea>
    </chartFormat>
    <chartFormat chart="15" format="15" series="1">
      <pivotArea type="data" outline="0" fieldPosition="0">
        <references count="1">
          <reference field="4294967294" count="1" selected="0">
            <x v="9"/>
          </reference>
        </references>
      </pivotArea>
    </chartFormat>
    <chartFormat chart="15" format="16" series="1">
      <pivotArea type="data" outline="0" fieldPosition="0">
        <references count="1">
          <reference field="4294967294" count="1" selected="0">
            <x v="10"/>
          </reference>
        </references>
      </pivotArea>
    </chartFormat>
    <chartFormat chart="15" format="17" series="1">
      <pivotArea type="data" outline="0" fieldPosition="0">
        <references count="1">
          <reference field="4294967294" count="1" selected="0">
            <x v="11"/>
          </reference>
        </references>
      </pivotArea>
    </chartFormat>
    <chartFormat chart="15" format="18" series="1">
      <pivotArea type="data" outline="0" fieldPosition="0">
        <references count="1">
          <reference field="4294967294" count="1" selected="0">
            <x v="12"/>
          </reference>
        </references>
      </pivotArea>
    </chartFormat>
    <chartFormat chart="15" format="19" series="1">
      <pivotArea type="data" outline="0" fieldPosition="0">
        <references count="1">
          <reference field="4294967294" count="1" selected="0">
            <x v="13"/>
          </reference>
        </references>
      </pivotArea>
    </chartFormat>
    <chartFormat chart="15" format="20" series="1">
      <pivotArea type="data" outline="0" fieldPosition="0">
        <references count="1">
          <reference field="4294967294" count="1" selected="0">
            <x v="14"/>
          </reference>
        </references>
      </pivotArea>
    </chartFormat>
    <chartFormat chart="15" format="21" series="1">
      <pivotArea type="data" outline="0" fieldPosition="0">
        <references count="1">
          <reference field="4294967294" count="1" selected="0">
            <x v="15"/>
          </reference>
        </references>
      </pivotArea>
    </chartFormat>
    <chartFormat chart="15" format="22" series="1">
      <pivotArea type="data" outline="0" fieldPosition="0">
        <references count="1">
          <reference field="4294967294" count="1" selected="0">
            <x v="16"/>
          </reference>
        </references>
      </pivotArea>
    </chartFormat>
    <chartFormat chart="15" format="23" series="1">
      <pivotArea type="data" outline="0" fieldPosition="0">
        <references count="1">
          <reference field="4294967294" count="1" selected="0">
            <x v="17"/>
          </reference>
        </references>
      </pivotArea>
    </chartFormat>
    <chartFormat chart="15" format="24" series="1">
      <pivotArea type="data" outline="0" fieldPosition="0">
        <references count="1">
          <reference field="4294967294" count="1" selected="0">
            <x v="18"/>
          </reference>
        </references>
      </pivotArea>
    </chartFormat>
    <chartFormat chart="34" format="3" series="1">
      <pivotArea type="data" outline="0" fieldPosition="0">
        <references count="1">
          <reference field="4294967294" count="1" selected="0">
            <x v="0"/>
          </reference>
        </references>
      </pivotArea>
    </chartFormat>
    <chartFormat chart="34" format="4" series="1">
      <pivotArea type="data" outline="0" fieldPosition="0">
        <references count="1">
          <reference field="4294967294" count="1" selected="0">
            <x v="1"/>
          </reference>
        </references>
      </pivotArea>
    </chartFormat>
    <chartFormat chart="34" format="5" series="1">
      <pivotArea type="data" outline="0" fieldPosition="0">
        <references count="1">
          <reference field="4294967294" count="1" selected="0">
            <x v="2"/>
          </reference>
        </references>
      </pivotArea>
    </chartFormat>
    <chartFormat chart="34" format="6" series="1">
      <pivotArea type="data" outline="0" fieldPosition="0">
        <references count="1">
          <reference field="4294967294" count="1" selected="0">
            <x v="3"/>
          </reference>
        </references>
      </pivotArea>
    </chartFormat>
    <chartFormat chart="34" format="8" series="1">
      <pivotArea type="data" outline="0" fieldPosition="0">
        <references count="1">
          <reference field="4294967294" count="1" selected="0">
            <x v="5"/>
          </reference>
        </references>
      </pivotArea>
    </chartFormat>
    <chartFormat chart="34" format="9" series="1">
      <pivotArea type="data" outline="0" fieldPosition="0">
        <references count="1">
          <reference field="4294967294" count="1" selected="0">
            <x v="6"/>
          </reference>
        </references>
      </pivotArea>
    </chartFormat>
    <chartFormat chart="34" format="10" series="1">
      <pivotArea type="data" outline="0" fieldPosition="0">
        <references count="1">
          <reference field="4294967294" count="1" selected="0">
            <x v="7"/>
          </reference>
        </references>
      </pivotArea>
    </chartFormat>
    <chartFormat chart="34" format="11" series="1">
      <pivotArea type="data" outline="0" fieldPosition="0">
        <references count="1">
          <reference field="4294967294" count="1" selected="0">
            <x v="8"/>
          </reference>
        </references>
      </pivotArea>
    </chartFormat>
    <chartFormat chart="34" format="12" series="1">
      <pivotArea type="data" outline="0" fieldPosition="0">
        <references count="1">
          <reference field="4294967294" count="1" selected="0">
            <x v="9"/>
          </reference>
        </references>
      </pivotArea>
    </chartFormat>
    <chartFormat chart="34" format="13" series="1">
      <pivotArea type="data" outline="0" fieldPosition="0">
        <references count="1">
          <reference field="4294967294" count="1" selected="0">
            <x v="10"/>
          </reference>
        </references>
      </pivotArea>
    </chartFormat>
    <chartFormat chart="34" format="14" series="1">
      <pivotArea type="data" outline="0" fieldPosition="0">
        <references count="1">
          <reference field="4294967294" count="1" selected="0">
            <x v="11"/>
          </reference>
        </references>
      </pivotArea>
    </chartFormat>
    <chartFormat chart="34" format="15" series="1">
      <pivotArea type="data" outline="0" fieldPosition="0">
        <references count="1">
          <reference field="4294967294" count="1" selected="0">
            <x v="12"/>
          </reference>
        </references>
      </pivotArea>
    </chartFormat>
    <chartFormat chart="34" format="16" series="1">
      <pivotArea type="data" outline="0" fieldPosition="0">
        <references count="1">
          <reference field="4294967294" count="1" selected="0">
            <x v="13"/>
          </reference>
        </references>
      </pivotArea>
    </chartFormat>
    <chartFormat chart="34" format="17" series="1">
      <pivotArea type="data" outline="0" fieldPosition="0">
        <references count="1">
          <reference field="4294967294" count="1" selected="0">
            <x v="14"/>
          </reference>
        </references>
      </pivotArea>
    </chartFormat>
    <chartFormat chart="34" format="18" series="1">
      <pivotArea type="data" outline="0" fieldPosition="0">
        <references count="1">
          <reference field="4294967294" count="1" selected="0">
            <x v="15"/>
          </reference>
        </references>
      </pivotArea>
    </chartFormat>
    <chartFormat chart="34" format="19" series="1">
      <pivotArea type="data" outline="0" fieldPosition="0">
        <references count="1">
          <reference field="4294967294" count="1" selected="0">
            <x v="16"/>
          </reference>
        </references>
      </pivotArea>
    </chartFormat>
    <chartFormat chart="34" format="20" series="1">
      <pivotArea type="data" outline="0" fieldPosition="0">
        <references count="1">
          <reference field="4294967294" count="1" selected="0">
            <x v="17"/>
          </reference>
        </references>
      </pivotArea>
    </chartFormat>
    <chartFormat chart="34" format="21" series="1">
      <pivotArea type="data" outline="0" fieldPosition="0">
        <references count="1">
          <reference field="4294967294" count="1" selected="0">
            <x v="18"/>
          </reference>
        </references>
      </pivotArea>
    </chartFormat>
    <chartFormat chart="25" format="13" series="1">
      <pivotArea type="data" outline="0" fieldPosition="0">
        <references count="1">
          <reference field="4294967294" count="1" selected="0">
            <x v="0"/>
          </reference>
        </references>
      </pivotArea>
    </chartFormat>
    <chartFormat chart="25" format="14" series="1">
      <pivotArea type="data" outline="0" fieldPosition="0">
        <references count="1">
          <reference field="4294967294" count="1" selected="0">
            <x v="1"/>
          </reference>
        </references>
      </pivotArea>
    </chartFormat>
    <chartFormat chart="25" format="15" series="1">
      <pivotArea type="data" outline="0" fieldPosition="0">
        <references count="1">
          <reference field="4294967294" count="1" selected="0">
            <x v="2"/>
          </reference>
        </references>
      </pivotArea>
    </chartFormat>
    <chartFormat chart="25" format="16" series="1">
      <pivotArea type="data" outline="0" fieldPosition="0">
        <references count="1">
          <reference field="4294967294" count="1" selected="0">
            <x v="3"/>
          </reference>
        </references>
      </pivotArea>
    </chartFormat>
    <chartFormat chart="25" format="18" series="1">
      <pivotArea type="data" outline="0" fieldPosition="0">
        <references count="1">
          <reference field="4294967294" count="1" selected="0">
            <x v="5"/>
          </reference>
        </references>
      </pivotArea>
    </chartFormat>
    <chartFormat chart="25" format="19" series="1">
      <pivotArea type="data" outline="0" fieldPosition="0">
        <references count="1">
          <reference field="4294967294" count="1" selected="0">
            <x v="6"/>
          </reference>
        </references>
      </pivotArea>
    </chartFormat>
    <chartFormat chart="25" format="20" series="1">
      <pivotArea type="data" outline="0" fieldPosition="0">
        <references count="1">
          <reference field="4294967294" count="1" selected="0">
            <x v="7"/>
          </reference>
        </references>
      </pivotArea>
    </chartFormat>
    <chartFormat chart="25" format="21" series="1">
      <pivotArea type="data" outline="0" fieldPosition="0">
        <references count="1">
          <reference field="4294967294" count="1" selected="0">
            <x v="8"/>
          </reference>
        </references>
      </pivotArea>
    </chartFormat>
    <chartFormat chart="25" format="22" series="1">
      <pivotArea type="data" outline="0" fieldPosition="0">
        <references count="1">
          <reference field="4294967294" count="1" selected="0">
            <x v="9"/>
          </reference>
        </references>
      </pivotArea>
    </chartFormat>
    <chartFormat chart="25" format="23" series="1">
      <pivotArea type="data" outline="0" fieldPosition="0">
        <references count="1">
          <reference field="4294967294" count="1" selected="0">
            <x v="10"/>
          </reference>
        </references>
      </pivotArea>
    </chartFormat>
    <chartFormat chart="25" format="24" series="1">
      <pivotArea type="data" outline="0" fieldPosition="0">
        <references count="1">
          <reference field="4294967294" count="1" selected="0">
            <x v="11"/>
          </reference>
        </references>
      </pivotArea>
    </chartFormat>
    <chartFormat chart="25" format="25" series="1">
      <pivotArea type="data" outline="0" fieldPosition="0">
        <references count="1">
          <reference field="4294967294" count="1" selected="0">
            <x v="12"/>
          </reference>
        </references>
      </pivotArea>
    </chartFormat>
    <chartFormat chart="25" format="26" series="1">
      <pivotArea type="data" outline="0" fieldPosition="0">
        <references count="1">
          <reference field="4294967294" count="1" selected="0">
            <x v="13"/>
          </reference>
        </references>
      </pivotArea>
    </chartFormat>
    <chartFormat chart="25" format="27" series="1">
      <pivotArea type="data" outline="0" fieldPosition="0">
        <references count="1">
          <reference field="4294967294" count="1" selected="0">
            <x v="14"/>
          </reference>
        </references>
      </pivotArea>
    </chartFormat>
    <chartFormat chart="25" format="28" series="1">
      <pivotArea type="data" outline="0" fieldPosition="0">
        <references count="1">
          <reference field="4294967294" count="1" selected="0">
            <x v="15"/>
          </reference>
        </references>
      </pivotArea>
    </chartFormat>
    <chartFormat chart="25" format="29" series="1">
      <pivotArea type="data" outline="0" fieldPosition="0">
        <references count="1">
          <reference field="4294967294" count="1" selected="0">
            <x v="16"/>
          </reference>
        </references>
      </pivotArea>
    </chartFormat>
    <chartFormat chart="25" format="30" series="1">
      <pivotArea type="data" outline="0" fieldPosition="0">
        <references count="1">
          <reference field="4294967294" count="1" selected="0">
            <x v="17"/>
          </reference>
        </references>
      </pivotArea>
    </chartFormat>
    <chartFormat chart="25" format="31" series="1">
      <pivotArea type="data" outline="0" fieldPosition="0">
        <references count="1">
          <reference field="4294967294" count="1" selected="0">
            <x v="18"/>
          </reference>
        </references>
      </pivotArea>
    </chartFormat>
    <chartFormat chart="8" format="24" series="1">
      <pivotArea type="data" outline="0" fieldPosition="0">
        <references count="1">
          <reference field="4294967294" count="1" selected="0">
            <x v="19"/>
          </reference>
        </references>
      </pivotArea>
    </chartFormat>
    <chartFormat chart="34" format="22" series="1">
      <pivotArea type="data" outline="0" fieldPosition="0">
        <references count="1">
          <reference field="4294967294" count="1" selected="0">
            <x v="19"/>
          </reference>
        </references>
      </pivotArea>
    </chartFormat>
    <chartFormat chart="25" format="32" series="1">
      <pivotArea type="data" outline="0" fieldPosition="0">
        <references count="1">
          <reference field="4294967294" count="1" selected="0">
            <x v="19"/>
          </reference>
        </references>
      </pivotArea>
    </chartFormat>
    <chartFormat chart="15" format="25" series="1">
      <pivotArea type="data" outline="0" fieldPosition="0">
        <references count="1">
          <reference field="4294967294" count="1" selected="0">
            <x v="19"/>
          </reference>
        </references>
      </pivotArea>
    </chartFormat>
    <chartFormat chart="34" format="24" series="1">
      <pivotArea type="data" outline="0" fieldPosition="0">
        <references count="1">
          <reference field="4294967294" count="1" selected="0">
            <x v="4"/>
          </reference>
        </references>
      </pivotArea>
    </chartFormat>
    <chartFormat chart="25" format="34" series="1">
      <pivotArea type="data" outline="0" fieldPosition="0">
        <references count="1">
          <reference field="4294967294" count="1" selected="0">
            <x v="4"/>
          </reference>
        </references>
      </pivotArea>
    </chartFormat>
    <chartFormat chart="15" format="27" series="1">
      <pivotArea type="data" outline="0" fieldPosition="0">
        <references count="1">
          <reference field="4294967294" count="1" selected="0">
            <x v="4"/>
          </reference>
        </references>
      </pivotArea>
    </chartFormat>
    <chartFormat chart="8" format="26" series="1">
      <pivotArea type="data" outline="0" fieldPosition="0">
        <references count="1">
          <reference field="4294967294" count="1" selected="0">
            <x v="4"/>
          </reference>
        </references>
      </pivotArea>
    </chartFormat>
  </chart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queryTables/queryTable1.xml><?xml version="1.0" encoding="utf-8"?>
<queryTable xmlns="http://schemas.openxmlformats.org/spreadsheetml/2006/main" xmlns:mc="http://schemas.openxmlformats.org/markup-compatibility/2006" xmlns:xr16="http://schemas.microsoft.com/office/spreadsheetml/2017/revision16" mc:Ignorable="xr16" name="DonnéesExternes_1" refreshOnLoad="1" connectionId="1" xr16:uid="{23C2827A-540E-4D4D-972D-C68B32A01C55}" autoFormatId="16" applyNumberFormats="0" applyBorderFormats="0" applyFontFormats="0" applyPatternFormats="0" applyAlignmentFormats="0" applyWidthHeightFormats="0">
  <queryTableRefresh nextId="3">
    <queryTableFields count="2">
      <queryTableField id="1" name="Column1" tableColumnId="1"/>
      <queryTableField id="2" name="Column39" tableColumnId="2"/>
    </queryTableFields>
  </queryTableRefresh>
</queryTable>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_Horodatage_ouverture" xr10:uid="{528899A7-934A-4EEF-AB58-CF40C9AE4A0D}" sourceName="Horodatage ouverture">
  <pivotTables>
    <pivotTable tabId="10" name="Tableau croisé dynamique3"/>
    <pivotTable tabId="6" name="Tableau croisé dynamique1"/>
    <pivotTable tabId="7" name="Tableau croisé dynamique2"/>
    <pivotTable tabId="9" name="Tableau croisé dynamique2"/>
    <pivotTable tabId="8" name="Tableau croisé dynamique1"/>
    <pivotTable tabId="14" name="Tableau croisé dynamique1"/>
    <pivotTable tabId="12" name="Tableau croisé dynamique1"/>
    <pivotTable tabId="13" name="Tableau croisé dynamique2"/>
    <pivotTable tabId="11" name="Tableau croisé dynamique1"/>
    <pivotTable tabId="25" name="Tableau croisé dynamique1"/>
  </pivotTables>
  <data>
    <tabular pivotCacheId="717962282">
      <items count="368">
        <i x="34" s="1"/>
        <i x="35" s="1"/>
        <i x="36" s="1"/>
        <i x="37" s="1"/>
        <i x="38" s="1"/>
        <i x="41" s="1"/>
        <i x="42" s="1"/>
        <i x="43" s="1"/>
        <i x="44" s="1"/>
        <i x="45" s="1"/>
        <i x="48" s="1"/>
        <i x="49" s="1"/>
        <i x="50" s="1"/>
        <i x="51" s="1"/>
        <i x="52" s="1"/>
        <i x="0" s="1" nd="1"/>
        <i x="367" s="1" nd="1"/>
        <i x="214" s="1" nd="1"/>
        <i x="92" s="1" nd="1"/>
        <i x="336" s="1" nd="1"/>
        <i x="32" s="1" nd="1"/>
        <i x="1" s="1" nd="1"/>
        <i x="183" s="1" nd="1"/>
        <i x="153" s="1" nd="1"/>
        <i x="122" s="1" nd="1"/>
        <i x="61" s="1" nd="1"/>
        <i x="306" s="1" nd="1"/>
        <i x="275" s="1" nd="1"/>
        <i x="245" s="1" nd="1"/>
        <i x="215" s="1" nd="1"/>
        <i x="93" s="1" nd="1"/>
        <i x="337" s="1" nd="1"/>
        <i x="33" s="1" nd="1"/>
        <i x="2" s="1" nd="1"/>
        <i x="184" s="1" nd="1"/>
        <i x="154" s="1" nd="1"/>
        <i x="123" s="1" nd="1"/>
        <i x="62" s="1" nd="1"/>
        <i x="307" s="1" nd="1"/>
        <i x="276" s="1" nd="1"/>
        <i x="246" s="1" nd="1"/>
        <i x="216" s="1" nd="1"/>
        <i x="94" s="1" nd="1"/>
        <i x="338" s="1" nd="1"/>
        <i x="3" s="1" nd="1"/>
        <i x="185" s="1" nd="1"/>
        <i x="155" s="1" nd="1"/>
        <i x="124" s="1" nd="1"/>
        <i x="63" s="1" nd="1"/>
        <i x="308" s="1" nd="1"/>
        <i x="277" s="1" nd="1"/>
        <i x="247" s="1" nd="1"/>
        <i x="217" s="1" nd="1"/>
        <i x="95" s="1" nd="1"/>
        <i x="339" s="1" nd="1"/>
        <i x="4" s="1" nd="1"/>
        <i x="186" s="1" nd="1"/>
        <i x="156" s="1" nd="1"/>
        <i x="125" s="1" nd="1"/>
        <i x="64" s="1" nd="1"/>
        <i x="309" s="1" nd="1"/>
        <i x="278" s="1" nd="1"/>
        <i x="248" s="1" nd="1"/>
        <i x="218" s="1" nd="1"/>
        <i x="96" s="1" nd="1"/>
        <i x="340" s="1" nd="1"/>
        <i x="5" s="1" nd="1"/>
        <i x="187" s="1" nd="1"/>
        <i x="157" s="1" nd="1"/>
        <i x="126" s="1" nd="1"/>
        <i x="65" s="1" nd="1"/>
        <i x="310" s="1" nd="1"/>
        <i x="279" s="1" nd="1"/>
        <i x="249" s="1" nd="1"/>
        <i x="219" s="1" nd="1"/>
        <i x="97" s="1" nd="1"/>
        <i x="341" s="1" nd="1"/>
        <i x="6" s="1" nd="1"/>
        <i x="188" s="1" nd="1"/>
        <i x="158" s="1" nd="1"/>
        <i x="127" s="1" nd="1"/>
        <i x="66" s="1" nd="1"/>
        <i x="311" s="1" nd="1"/>
        <i x="280" s="1" nd="1"/>
        <i x="250" s="1" nd="1"/>
        <i x="220" s="1" nd="1"/>
        <i x="98" s="1" nd="1"/>
        <i x="342" s="1" nd="1"/>
        <i x="7" s="1" nd="1"/>
        <i x="189" s="1" nd="1"/>
        <i x="159" s="1" nd="1"/>
        <i x="128" s="1" nd="1"/>
        <i x="67" s="1" nd="1"/>
        <i x="312" s="1" nd="1"/>
        <i x="281" s="1" nd="1"/>
        <i x="251" s="1" nd="1"/>
        <i x="221" s="1" nd="1"/>
        <i x="99" s="1" nd="1"/>
        <i x="343" s="1" nd="1"/>
        <i x="39" s="1" nd="1"/>
        <i x="8" s="1" nd="1"/>
        <i x="190" s="1" nd="1"/>
        <i x="160" s="1" nd="1"/>
        <i x="129" s="1" nd="1"/>
        <i x="68" s="1" nd="1"/>
        <i x="313" s="1" nd="1"/>
        <i x="282" s="1" nd="1"/>
        <i x="252" s="1" nd="1"/>
        <i x="222" s="1" nd="1"/>
        <i x="100" s="1" nd="1"/>
        <i x="344" s="1" nd="1"/>
        <i x="40" s="1" nd="1"/>
        <i x="9" s="1" nd="1"/>
        <i x="191" s="1" nd="1"/>
        <i x="161" s="1" nd="1"/>
        <i x="130" s="1" nd="1"/>
        <i x="69" s="1" nd="1"/>
        <i x="314" s="1" nd="1"/>
        <i x="283" s="1" nd="1"/>
        <i x="253" s="1" nd="1"/>
        <i x="223" s="1" nd="1"/>
        <i x="101" s="1" nd="1"/>
        <i x="345" s="1" nd="1"/>
        <i x="10" s="1" nd="1"/>
        <i x="192" s="1" nd="1"/>
        <i x="162" s="1" nd="1"/>
        <i x="131" s="1" nd="1"/>
        <i x="70" s="1" nd="1"/>
        <i x="315" s="1" nd="1"/>
        <i x="284" s="1" nd="1"/>
        <i x="254" s="1" nd="1"/>
        <i x="224" s="1" nd="1"/>
        <i x="102" s="1" nd="1"/>
        <i x="346" s="1" nd="1"/>
        <i x="11" s="1" nd="1"/>
        <i x="193" s="1" nd="1"/>
        <i x="163" s="1" nd="1"/>
        <i x="132" s="1" nd="1"/>
        <i x="71" s="1" nd="1"/>
        <i x="316" s="1" nd="1"/>
        <i x="285" s="1" nd="1"/>
        <i x="255" s="1" nd="1"/>
        <i x="225" s="1" nd="1"/>
        <i x="103" s="1" nd="1"/>
        <i x="347" s="1" nd="1"/>
        <i x="12" s="1" nd="1"/>
        <i x="194" s="1" nd="1"/>
        <i x="164" s="1" nd="1"/>
        <i x="133" s="1" nd="1"/>
        <i x="72" s="1" nd="1"/>
        <i x="317" s="1" nd="1"/>
        <i x="286" s="1" nd="1"/>
        <i x="256" s="1" nd="1"/>
        <i x="226" s="1" nd="1"/>
        <i x="104" s="1" nd="1"/>
        <i x="348" s="1" nd="1"/>
        <i x="13" s="1" nd="1"/>
        <i x="195" s="1" nd="1"/>
        <i x="165" s="1" nd="1"/>
        <i x="134" s="1" nd="1"/>
        <i x="73" s="1" nd="1"/>
        <i x="318" s="1" nd="1"/>
        <i x="287" s="1" nd="1"/>
        <i x="257" s="1" nd="1"/>
        <i x="227" s="1" nd="1"/>
        <i x="105" s="1" nd="1"/>
        <i x="349" s="1" nd="1"/>
        <i x="14" s="1" nd="1"/>
        <i x="196" s="1" nd="1"/>
        <i x="166" s="1" nd="1"/>
        <i x="135" s="1" nd="1"/>
        <i x="74" s="1" nd="1"/>
        <i x="319" s="1" nd="1"/>
        <i x="288" s="1" nd="1"/>
        <i x="258" s="1" nd="1"/>
        <i x="228" s="1" nd="1"/>
        <i x="106" s="1" nd="1"/>
        <i x="350" s="1" nd="1"/>
        <i x="46" s="1" nd="1"/>
        <i x="15" s="1" nd="1"/>
        <i x="197" s="1" nd="1"/>
        <i x="167" s="1" nd="1"/>
        <i x="136" s="1" nd="1"/>
        <i x="75" s="1" nd="1"/>
        <i x="320" s="1" nd="1"/>
        <i x="289" s="1" nd="1"/>
        <i x="259" s="1" nd="1"/>
        <i x="229" s="1" nd="1"/>
        <i x="107" s="1" nd="1"/>
        <i x="351" s="1" nd="1"/>
        <i x="47" s="1" nd="1"/>
        <i x="16" s="1" nd="1"/>
        <i x="198" s="1" nd="1"/>
        <i x="168" s="1" nd="1"/>
        <i x="137" s="1" nd="1"/>
        <i x="76" s="1" nd="1"/>
        <i x="321" s="1" nd="1"/>
        <i x="290" s="1" nd="1"/>
        <i x="260" s="1" nd="1"/>
        <i x="230" s="1" nd="1"/>
        <i x="108" s="1" nd="1"/>
        <i x="352" s="1" nd="1"/>
        <i x="17" s="1" nd="1"/>
        <i x="199" s="1" nd="1"/>
        <i x="169" s="1" nd="1"/>
        <i x="138" s="1" nd="1"/>
        <i x="77" s="1" nd="1"/>
        <i x="322" s="1" nd="1"/>
        <i x="291" s="1" nd="1"/>
        <i x="261" s="1" nd="1"/>
        <i x="231" s="1" nd="1"/>
        <i x="109" s="1" nd="1"/>
        <i x="353" s="1" nd="1"/>
        <i x="18" s="1" nd="1"/>
        <i x="200" s="1" nd="1"/>
        <i x="170" s="1" nd="1"/>
        <i x="139" s="1" nd="1"/>
        <i x="78" s="1" nd="1"/>
        <i x="323" s="1" nd="1"/>
        <i x="292" s="1" nd="1"/>
        <i x="262" s="1" nd="1"/>
        <i x="232" s="1" nd="1"/>
        <i x="110" s="1" nd="1"/>
        <i x="354" s="1" nd="1"/>
        <i x="19" s="1" nd="1"/>
        <i x="201" s="1" nd="1"/>
        <i x="171" s="1" nd="1"/>
        <i x="140" s="1" nd="1"/>
        <i x="79" s="1" nd="1"/>
        <i x="324" s="1" nd="1"/>
        <i x="293" s="1" nd="1"/>
        <i x="263" s="1" nd="1"/>
        <i x="233" s="1" nd="1"/>
        <i x="111" s="1" nd="1"/>
        <i x="355" s="1" nd="1"/>
        <i x="20" s="1" nd="1"/>
        <i x="202" s="1" nd="1"/>
        <i x="172" s="1" nd="1"/>
        <i x="141" s="1" nd="1"/>
        <i x="80" s="1" nd="1"/>
        <i x="325" s="1" nd="1"/>
        <i x="294" s="1" nd="1"/>
        <i x="264" s="1" nd="1"/>
        <i x="234" s="1" nd="1"/>
        <i x="112" s="1" nd="1"/>
        <i x="356" s="1" nd="1"/>
        <i x="21" s="1" nd="1"/>
        <i x="203" s="1" nd="1"/>
        <i x="173" s="1" nd="1"/>
        <i x="142" s="1" nd="1"/>
        <i x="81" s="1" nd="1"/>
        <i x="326" s="1" nd="1"/>
        <i x="295" s="1" nd="1"/>
        <i x="265" s="1" nd="1"/>
        <i x="235" s="1" nd="1"/>
        <i x="113" s="1" nd="1"/>
        <i x="357" s="1" nd="1"/>
        <i x="53" s="1" nd="1"/>
        <i x="22" s="1" nd="1"/>
        <i x="204" s="1" nd="1"/>
        <i x="174" s="1" nd="1"/>
        <i x="143" s="1" nd="1"/>
        <i x="82" s="1" nd="1"/>
        <i x="327" s="1" nd="1"/>
        <i x="296" s="1" nd="1"/>
        <i x="266" s="1" nd="1"/>
        <i x="236" s="1" nd="1"/>
        <i x="114" s="1" nd="1"/>
        <i x="358" s="1" nd="1"/>
        <i x="54" s="1" nd="1"/>
        <i x="23" s="1" nd="1"/>
        <i x="205" s="1" nd="1"/>
        <i x="175" s="1" nd="1"/>
        <i x="144" s="1" nd="1"/>
        <i x="83" s="1" nd="1"/>
        <i x="328" s="1" nd="1"/>
        <i x="297" s="1" nd="1"/>
        <i x="267" s="1" nd="1"/>
        <i x="237" s="1" nd="1"/>
        <i x="115" s="1" nd="1"/>
        <i x="359" s="1" nd="1"/>
        <i x="55" s="1" nd="1"/>
        <i x="24" s="1" nd="1"/>
        <i x="206" s="1" nd="1"/>
        <i x="176" s="1" nd="1"/>
        <i x="145" s="1" nd="1"/>
        <i x="84" s="1" nd="1"/>
        <i x="329" s="1" nd="1"/>
        <i x="298" s="1" nd="1"/>
        <i x="268" s="1" nd="1"/>
        <i x="238" s="1" nd="1"/>
        <i x="116" s="1" nd="1"/>
        <i x="360" s="1" nd="1"/>
        <i x="56" s="1" nd="1"/>
        <i x="25" s="1" nd="1"/>
        <i x="207" s="1" nd="1"/>
        <i x="177" s="1" nd="1"/>
        <i x="146" s="1" nd="1"/>
        <i x="85" s="1" nd="1"/>
        <i x="330" s="1" nd="1"/>
        <i x="299" s="1" nd="1"/>
        <i x="269" s="1" nd="1"/>
        <i x="239" s="1" nd="1"/>
        <i x="117" s="1" nd="1"/>
        <i x="361" s="1" nd="1"/>
        <i x="57" s="1" nd="1"/>
        <i x="26" s="1" nd="1"/>
        <i x="208" s="1" nd="1"/>
        <i x="178" s="1" nd="1"/>
        <i x="147" s="1" nd="1"/>
        <i x="86" s="1" nd="1"/>
        <i x="331" s="1" nd="1"/>
        <i x="300" s="1" nd="1"/>
        <i x="270" s="1" nd="1"/>
        <i x="240" s="1" nd="1"/>
        <i x="118" s="1" nd="1"/>
        <i x="362" s="1" nd="1"/>
        <i x="58" s="1" nd="1"/>
        <i x="27" s="1" nd="1"/>
        <i x="209" s="1" nd="1"/>
        <i x="179" s="1" nd="1"/>
        <i x="148" s="1" nd="1"/>
        <i x="87" s="1" nd="1"/>
        <i x="332" s="1" nd="1"/>
        <i x="301" s="1" nd="1"/>
        <i x="271" s="1" nd="1"/>
        <i x="241" s="1" nd="1"/>
        <i x="119" s="1" nd="1"/>
        <i x="363" s="1" nd="1"/>
        <i x="59" s="1" nd="1"/>
        <i x="28" s="1" nd="1"/>
        <i x="210" s="1" nd="1"/>
        <i x="180" s="1" nd="1"/>
        <i x="149" s="1" nd="1"/>
        <i x="88" s="1" nd="1"/>
        <i x="333" s="1" nd="1"/>
        <i x="302" s="1" nd="1"/>
        <i x="272" s="1" nd="1"/>
        <i x="242" s="1" nd="1"/>
        <i x="120" s="1" nd="1"/>
        <i x="364" s="1" nd="1"/>
        <i x="60" s="1" nd="1"/>
        <i x="29" s="1" nd="1"/>
        <i x="211" s="1" nd="1"/>
        <i x="181" s="1" nd="1"/>
        <i x="150" s="1" nd="1"/>
        <i x="89" s="1" nd="1"/>
        <i x="334" s="1" nd="1"/>
        <i x="303" s="1" nd="1"/>
        <i x="273" s="1" nd="1"/>
        <i x="243" s="1" nd="1"/>
        <i x="121" s="1" nd="1"/>
        <i x="365" s="1" nd="1"/>
        <i x="30" s="1" nd="1"/>
        <i x="212" s="1" nd="1"/>
        <i x="182" s="1" nd="1"/>
        <i x="151" s="1" nd="1"/>
        <i x="90" s="1" nd="1"/>
        <i x="335" s="1" nd="1"/>
        <i x="304" s="1" nd="1"/>
        <i x="274" s="1" nd="1"/>
        <i x="244" s="1" nd="1"/>
        <i x="366" s="1" nd="1"/>
        <i x="31" s="1" nd="1"/>
        <i x="213" s="1" nd="1"/>
        <i x="152" s="1" nd="1"/>
        <i x="91" s="1" nd="1"/>
        <i x="305" s="1" nd="1"/>
      </items>
    </tabular>
  </data>
  <extLst>
    <x:ext xmlns:x15="http://schemas.microsoft.com/office/spreadsheetml/2010/11/main" uri="{470722E0-AACD-4C17-9CDC-17EF765DBC7E}">
      <x15:slicerCacheHideItemsWithNoData/>
    </x:ext>
  </extLst>
</slicerCacheDefinition>
</file>

<file path=xl/slicerCaches/slicerCache2.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_N°_de_semaine" xr10:uid="{4E5A7846-BAAA-4EBB-B46B-E74A53AB72D8}" sourceName="N° de semaine">
  <pivotTables>
    <pivotTable tabId="25" name="Tableau croisé dynamique1"/>
    <pivotTable tabId="8" name="Tableau croisé dynamique1"/>
    <pivotTable tabId="9" name="Tableau croisé dynamique2"/>
    <pivotTable tabId="6" name="Tableau croisé dynamique1"/>
    <pivotTable tabId="14" name="Tableau croisé dynamique1"/>
    <pivotTable tabId="7" name="Tableau croisé dynamique2"/>
    <pivotTable tabId="11" name="Tableau croisé dynamique1"/>
    <pivotTable tabId="12" name="Tableau croisé dynamique1"/>
    <pivotTable tabId="10" name="Tableau croisé dynamique3"/>
    <pivotTable tabId="13" name="Tableau croisé dynamique2"/>
  </pivotTables>
  <data>
    <tabular pivotCacheId="717962282">
      <items count="11">
        <i x="0" s="1"/>
        <i x="1" s="1"/>
        <i x="2" s="1"/>
        <i x="8" s="1" nd="1"/>
        <i x="7" s="1" nd="1"/>
        <i x="3" s="1" nd="1"/>
        <i x="6" s="1" nd="1"/>
        <i x="9" s="1" nd="1"/>
        <i x="4" s="1" nd="1"/>
        <i x="10" s="1" nd="1"/>
        <i x="5" s="1" nd="1"/>
      </items>
    </tabular>
  </data>
  <extLst>
    <x:ext xmlns:x15="http://schemas.microsoft.com/office/spreadsheetml/2010/11/main" uri="{470722E0-AACD-4C17-9CDC-17EF765DBC7E}">
      <x15:slicerCacheHideItemsWithNoData/>
    </x:ext>
  </extLst>
</slicerCacheDefinition>
</file>

<file path=xl/slicerCaches/slicerCache3.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_Années" xr10:uid="{A79AB807-55D9-4D67-8BF1-DE017721CA92}" sourceName="Années">
  <pivotTables>
    <pivotTable tabId="10" name="Tableau croisé dynamique3"/>
    <pivotTable tabId="6" name="Tableau croisé dynamique1"/>
    <pivotTable tabId="7" name="Tableau croisé dynamique2"/>
    <pivotTable tabId="9" name="Tableau croisé dynamique2"/>
    <pivotTable tabId="8" name="Tableau croisé dynamique1"/>
    <pivotTable tabId="12" name="Tableau croisé dynamique1"/>
    <pivotTable tabId="13" name="Tableau croisé dynamique2"/>
    <pivotTable tabId="11" name="Tableau croisé dynamique1"/>
    <pivotTable tabId="25" name="Tableau croisé dynamique1"/>
    <pivotTable tabId="14" name="Tableau croisé dynamique1"/>
  </pivotTables>
  <data>
    <tabular pivotCacheId="717962282">
      <items count="3">
        <i x="1" s="1"/>
        <i x="0" s="1" nd="1"/>
        <i x="2" s="1" nd="1"/>
      </items>
    </tabular>
  </data>
  <extLst>
    <x:ext xmlns:x15="http://schemas.microsoft.com/office/spreadsheetml/2010/11/main" uri="{470722E0-AACD-4C17-9CDC-17EF765DBC7E}">
      <x15:slicerCacheHideItemsWithNoData/>
    </x:ext>
  </extLst>
</slicerCacheDefinition>
</file>

<file path=xl/slicerCaches/slicerCache4.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_Trimestres" xr10:uid="{04123BB9-0D00-48AE-92A3-1308133CB025}" sourceName="Trimestres">
  <pivotTables>
    <pivotTable tabId="10" name="Tableau croisé dynamique3"/>
    <pivotTable tabId="6" name="Tableau croisé dynamique1"/>
    <pivotTable tabId="7" name="Tableau croisé dynamique2"/>
    <pivotTable tabId="9" name="Tableau croisé dynamique2"/>
    <pivotTable tabId="8" name="Tableau croisé dynamique1"/>
    <pivotTable tabId="12" name="Tableau croisé dynamique1"/>
    <pivotTable tabId="13" name="Tableau croisé dynamique2"/>
    <pivotTable tabId="11" name="Tableau croisé dynamique1"/>
    <pivotTable tabId="25" name="Tableau croisé dynamique1"/>
    <pivotTable tabId="14" name="Tableau croisé dynamique1"/>
  </pivotTables>
  <data>
    <tabular pivotCacheId="717962282">
      <items count="6">
        <i x="1" s="1"/>
        <i x="0" s="1" nd="1"/>
        <i x="5" s="1" nd="1"/>
        <i x="2" s="1" nd="1"/>
        <i x="3" s="1" nd="1"/>
        <i x="4" s="1" nd="1"/>
      </items>
    </tabular>
  </data>
  <extLst>
    <x:ext xmlns:x15="http://schemas.microsoft.com/office/spreadsheetml/2010/11/main" uri="{470722E0-AACD-4C17-9CDC-17EF765DBC7E}">
      <x15:slicerCacheHideItemsWithNoData/>
    </x:ext>
  </extLst>
</slicerCacheDefinition>
</file>

<file path=xl/slicerCaches/slicerCache5.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_Mois" xr10:uid="{E8C0B66A-0EA7-4D55-A402-C58C5ED35C78}" sourceName="Mois">
  <pivotTables>
    <pivotTable tabId="10" name="Tableau croisé dynamique3"/>
    <pivotTable tabId="6" name="Tableau croisé dynamique1"/>
    <pivotTable tabId="7" name="Tableau croisé dynamique2"/>
    <pivotTable tabId="9" name="Tableau croisé dynamique2"/>
    <pivotTable tabId="8" name="Tableau croisé dynamique1"/>
    <pivotTable tabId="12" name="Tableau croisé dynamique1"/>
    <pivotTable tabId="13" name="Tableau croisé dynamique2"/>
    <pivotTable tabId="11" name="Tableau croisé dynamique1"/>
    <pivotTable tabId="25" name="Tableau croisé dynamique1"/>
    <pivotTable tabId="14" name="Tableau croisé dynamique1"/>
  </pivotTables>
  <data>
    <tabular pivotCacheId="717962282">
      <items count="14">
        <i x="2" s="1"/>
        <i x="1" s="1" nd="1"/>
        <i x="3" s="1" nd="1"/>
        <i x="4" s="1" nd="1"/>
        <i x="5" s="1" nd="1"/>
        <i x="6" s="1" nd="1"/>
        <i x="7" s="1" nd="1"/>
        <i x="8" s="1" nd="1"/>
        <i x="9" s="1" nd="1"/>
        <i x="10" s="1" nd="1"/>
        <i x="11" s="1" nd="1"/>
        <i x="12" s="1" nd="1"/>
        <i x="0" s="1" nd="1"/>
        <i x="13" s="1" nd="1"/>
      </items>
    </tabular>
  </data>
  <extLst>
    <x:ext xmlns:x15="http://schemas.microsoft.com/office/spreadsheetml/2010/11/main" uri="{470722E0-AACD-4C17-9CDC-17EF765DBC7E}">
      <x15:slicerCacheHideItemsWithNoData/>
    </x:ext>
  </extLst>
</slicerCacheDefinition>
</file>

<file path=xl/slicerCaches/slicerCache6.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_Date" xr10:uid="{5E1BF1DD-69AF-4EF0-B6A8-EAF06BC4B60B}" sourceName="Date">
  <pivotTables>
    <pivotTable tabId="31" name="Tableau croisé dynamique2"/>
  </pivotTables>
  <data>
    <tabular pivotCacheId="1996785163">
      <items count="51">
        <i x="0"/>
        <i x="1"/>
        <i x="2"/>
        <i x="3"/>
        <i x="4"/>
        <i x="5"/>
        <i x="6"/>
        <i x="7"/>
        <i x="8"/>
        <i x="9"/>
        <i x="10"/>
        <i x="11"/>
        <i x="12"/>
        <i x="13"/>
        <i x="14" s="1"/>
        <i x="39" nd="1"/>
        <i x="30" nd="1"/>
        <i x="46" nd="1"/>
        <i x="24" nd="1"/>
        <i x="37" nd="1"/>
        <i x="17" nd="1"/>
        <i x="29" nd="1"/>
        <i x="44" nd="1"/>
        <i x="22" nd="1"/>
        <i x="35" nd="1"/>
        <i x="15" nd="1"/>
        <i x="27" nd="1"/>
        <i x="41" nd="1"/>
        <i x="20" nd="1"/>
        <i x="34" nd="1"/>
        <i x="45" nd="1"/>
        <i x="16" nd="1"/>
        <i x="31" nd="1"/>
        <i x="49" nd="1"/>
        <i x="42" nd="1"/>
        <i x="23" nd="1"/>
        <i x="36" nd="1"/>
        <i x="50" nd="1"/>
        <i x="28" nd="1"/>
        <i x="43" nd="1"/>
        <i x="21" nd="1"/>
        <i x="48" nd="1"/>
        <i x="26" nd="1"/>
        <i x="40" nd="1"/>
        <i x="19" nd="1"/>
        <i x="33" nd="1"/>
        <i x="47" nd="1"/>
        <i x="25" nd="1"/>
        <i x="38" nd="1"/>
        <i x="18" nd="1"/>
        <i x="32" nd="1"/>
      </items>
    </tabular>
  </data>
  <extLst>
    <x:ext xmlns:x15="http://schemas.microsoft.com/office/spreadsheetml/2010/11/main" uri="{470722E0-AACD-4C17-9CDC-17EF765DBC7E}">
      <x15:slicerCacheHideItemsWithNoData/>
    </x:ext>
  </extLst>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Horodatage ouverture" xr10:uid="{A0D49E9F-5CF0-4C65-9C5F-903097FAD23B}" cache="Segment_Horodatage_ouverture" caption="Jours" lockedPosition="1" rowHeight="257175"/>
  <slicer name="N° de semaine" xr10:uid="{58D0051F-0D96-4CC6-A6B6-216E67DEDC7E}" cache="Segment_N°_de_semaine" caption="Semaine" lockedPosition="1" rowHeight="257175"/>
  <slicer name="Années" xr10:uid="{F08CF6FB-B4FA-4868-B59F-CB04EEB1F260}" cache="Segment_Années" caption="Années" lockedPosition="1" rowHeight="257175"/>
  <slicer name="Trimestres" xr10:uid="{3B26A923-F040-4BF4-9606-BFA34F6A002F}" cache="Segment_Trimestres" caption="Trimestres" lockedPosition="1" rowHeight="257175"/>
  <slicer name="Mois" xr10:uid="{3199BF5B-B448-4895-8DDE-43F8A1108171}" cache="Segment_Mois" caption="Mois" lockedPosition="1" rowHeight="257175"/>
</slicers>
</file>

<file path=xl/slicers/slicer2.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Jours" xr10:uid="{599BE9D7-6CEE-4C52-9CB2-DB27351C840F}" cache="Segment_Date" caption="Jours" startItem="7" lockedPosition="1" rowHeight="257175"/>
</slicers>
</file>

<file path=xl/tables/_rels/table2.xml.rels><?xml version="1.0" encoding="UTF-8" standalone="yes"?>
<Relationships xmlns="http://schemas.openxmlformats.org/package/2006/relationships"><Relationship Id="rId1" Type="http://schemas.openxmlformats.org/officeDocument/2006/relationships/queryTable" Target="../queryTables/queryTable1.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515EC249-B29E-4334-87D9-3D0C755BE472}" name="Table_BDD" displayName="Table_BDD" ref="A3:BQ161" totalsRowShown="0" headerRowDxfId="133" dataDxfId="131" headerRowBorderDxfId="132">
  <autoFilter ref="A3:BQ161" xr:uid="{5D7A2B5E-5608-4734-821E-F864D8BF3CD3}"/>
  <tableColumns count="69">
    <tableColumn id="1" xr3:uid="{38810AA9-9DBD-44FB-A75B-5FFDE94D9E87}" name="Horodatage ouverture" dataDxfId="130" totalsRowDxfId="129"/>
    <tableColumn id="2" xr3:uid="{DFFBF8F6-D230-4344-A9E0-5F697F06C537}" name="Position" dataDxfId="128" totalsRowDxfId="127"/>
    <tableColumn id="3" xr3:uid="{E6637486-AD48-485B-BB60-9165B39FFD68}" name="Symbole" dataDxfId="126" totalsRowDxfId="125"/>
    <tableColumn id="4" xr3:uid="{3E16B5E1-070F-463C-8376-A2E3F00014F8}" name="Type" dataDxfId="124" totalsRowDxfId="123"/>
    <tableColumn id="5" xr3:uid="{23EE4EEE-1D56-4644-992B-FF181CBCFA8A}" name="Volume" dataDxfId="122" totalsRowDxfId="121"/>
    <tableColumn id="6" xr3:uid="{303EC3A8-A9CA-4E24-9F1A-45F8D3D76C69}" name="Lvl Entrée" dataDxfId="120" totalsRowDxfId="119"/>
    <tableColumn id="7" xr3:uid="{A3F8E0CE-EE50-4825-88CD-3655858ED090}" name="S / L" dataDxfId="118" totalsRowDxfId="117"/>
    <tableColumn id="8" xr3:uid="{DC94D3BA-2F2F-44BC-B6CF-E3B8F6F6346E}" name="T / P" dataDxfId="116" totalsRowDxfId="115"/>
    <tableColumn id="9" xr3:uid="{D23B51C4-0F4F-4178-9BE5-4934E7578F92}" name="Horodatage cloture" dataDxfId="114" totalsRowDxfId="113"/>
    <tableColumn id="10" xr3:uid="{8B7E5682-276C-4178-8935-BDD1DB14040A}" name="Lvl Sortie" dataDxfId="112" totalsRowDxfId="111"/>
    <tableColumn id="11" xr3:uid="{90690261-0B24-4588-99C1-7B1786105B6A}" name="Commission" dataDxfId="110" totalsRowDxfId="109"/>
    <tableColumn id="12" xr3:uid="{4BF47D80-BAB7-4047-B13E-AA23E2FDB402}" name="Echange" dataDxfId="108" totalsRowDxfId="107"/>
    <tableColumn id="13" xr3:uid="{0F2749B9-2D13-4D06-9527-85F67EAF33D2}" name="Profit" dataDxfId="106" totalsRowDxfId="105" dataCellStyle="Pourcentage"/>
    <tableColumn id="58" xr3:uid="{81D80A15-3553-43CD-8522-A042F1D10B53}" name="Trade n°" dataDxfId="104" totalsRowDxfId="103" dataCellStyle="Pourcentage">
      <calculatedColumnFormula>IF(Table_BDD[[#This Row],[Position]]="","",ROW()-3)</calculatedColumnFormula>
    </tableColumn>
    <tableColumn id="68" xr3:uid="{9BE82C57-8EF6-4097-BCE9-4A440EF63C5F}" name="Cumul profit" dataDxfId="102" totalsRowDxfId="101" dataCellStyle="Pourcentage">
      <calculatedColumnFormula>SUM($L$4:M4)</calculatedColumnFormula>
    </tableColumn>
    <tableColumn id="72" xr3:uid="{56B60646-44A6-47CB-8983-E1B6D145C70C}" name="Cumul équité" dataDxfId="100" totalsRowDxfId="99" dataCellStyle="Pourcentage">
      <calculatedColumnFormula>Table_BDD[[#This Row],[Equité avant trade]]+Table_BDD[[#This Row],[Profit]]+Table_BDD[[#This Row],[Echange]]</calculatedColumnFormula>
    </tableColumn>
    <tableColumn id="38" xr3:uid="{98B039FC-0EC6-4FA0-8D6E-35219E850DD4}" name="Date" dataDxfId="98" totalsRowDxfId="97" dataCellStyle="Pourcentage">
      <calculatedColumnFormula>INT(Table_BDD[[#This Row],[Horodatage cloture]])</calculatedColumnFormula>
    </tableColumn>
    <tableColumn id="42" xr3:uid="{3D001CC5-9BBE-447A-B8DB-D55CBF418732}" name="N° de semaine" dataDxfId="96" totalsRowDxfId="95" dataCellStyle="Pourcentage">
      <calculatedColumnFormula>WEEKNUM(Table_BDD[[#This Row],[Horodatage cloture]],2)</calculatedColumnFormula>
    </tableColumn>
    <tableColumn id="41" xr3:uid="{49FC502E-F51E-46C9-A72A-21E3DF7C29D0}" name="Jour" dataDxfId="94" totalsRowDxfId="93" dataCellStyle="Pourcentage">
      <calculatedColumnFormula>WEEKDAY(Table_BDD[[#This Row],[Horodatage cloture]])</calculatedColumnFormula>
    </tableColumn>
    <tableColumn id="47" xr3:uid="{3578E17D-C92B-4203-8B94-795130ABC52B}" name="Heure" dataDxfId="92" dataCellStyle="Pourcentage">
      <calculatedColumnFormula>HOUR(Table_BDD[[#This Row],[Horodatage cloture]])</calculatedColumnFormula>
    </tableColumn>
    <tableColumn id="48" xr3:uid="{ACE1A373-8532-48B3-95D2-F69D7795DDD3}" name="Nb de séance de trading" dataDxfId="91" dataCellStyle="Pourcentage">
      <calculatedColumnFormula>IF(Table_BDD[[#This Row],[Position]]="","",IF(Table_BDD[[#This Row],[Valeur début de journée unique]]&lt;&gt;0,1,0))</calculatedColumnFormula>
    </tableColumn>
    <tableColumn id="59" xr3:uid="{533850B8-0A92-4DDE-AF41-A0ADAE9E6E83}" name="Nb de trade du jour" dataDxfId="90" dataCellStyle="Pourcentage">
      <calculatedColumnFormula>IF(Table_BDD[[#This Row],[Nb de séance de trading]]=1,COUNTIF(Table_BDD[Date],Table_BDD[[#This Row],[Date]]),"")</calculatedColumnFormula>
    </tableColumn>
    <tableColumn id="32" xr3:uid="{32FC0EE4-E9E2-4711-A2B4-9D56A430E258}" name="Ecart du SL" dataDxfId="89" dataCellStyle="Pourcentage">
      <calculatedColumnFormula>IF(Table_BDD[[#This Row],[Position]]="","",IF(Table_BDD[[#This Row],[Type]]="buy",ROUND(Table_BDD[[#This Row],[Lvl Entrée]]-Table_BDD[[#This Row],[S / L]],1),ROUND(Table_BDD[[#This Row],[S / L]]-Table_BDD[[#This Row],[Lvl Entrée]],1)))</calculatedColumnFormula>
    </tableColumn>
    <tableColumn id="31" xr3:uid="{E8E69BB1-9BFB-4092-8869-5EC3CF9968B1}" name="Ecart du TP" dataDxfId="88" dataCellStyle="Pourcentage">
      <calculatedColumnFormula>IF(Table_BDD[[#This Row],[Position]]="","",IF(Table_BDD[[#This Row],[T / P]]=0,200,IF(Table_BDD[[#This Row],[Type]]="buy",ROUND(Table_BDD[[#This Row],[T / P]]-Table_BDD[[#This Row],[Lvl Entrée]],1),ROUND(Table_BDD[[#This Row],[Lvl Entrée]]-Table_BDD[[#This Row],[T / P]],1))))</calculatedColumnFormula>
    </tableColumn>
    <tableColumn id="33" xr3:uid="{AF1D64D5-A0DF-4BFA-A2AC-EEDE07A478E9}" name="RR Avant Trade" dataDxfId="87" dataCellStyle="Pourcentage">
      <calculatedColumnFormula>IF(Table_BDD[[#This Row],[Position]]="","",IF(Table_BDD[[#This Row],[Ecart du SL]]&gt;0,ROUND(ABS(Table_BDD[[#This Row],[Ecart du TP]])/ABS(Table_BDD[[#This Row],[Ecart du SL]]),1),ROUND(ABS(Table_BDD[[#This Row],[Ecart du TP]])/10,1)))</calculatedColumnFormula>
    </tableColumn>
    <tableColumn id="34" xr3:uid="{10B2436D-BC30-4243-832B-39665369BE1D}" name="RR Réel" dataDxfId="86" dataCellStyle="Pourcentage">
      <calculatedColumnFormula>IF(Table_BDD[[#This Row],[Position]]="","",IF(Table_BDD[[#This Row],[Ecart du SL]]&lt;0,IF(AND(Table_BDD[[#This Row],[Profit]]&gt;0,Table_BDD[[#This Row],[Type]]="sell"),ROUND((Table_BDD[[#This Row],[Lvl Entrée]]-Table_BDD[[#This Row],[Lvl Sortie]])/(10),1),IF(AND(Table_BDD[[#This Row],[Profit]]&gt;0,Table_BDD[[#This Row],[Type]]="buy"),ROUND((Table_BDD[[#This Row],[Lvl Sortie]]-Table_BDD[[#This Row],[Lvl Entrée]])/(10),1),)),IF(AND(Table_BDD[[#This Row],[Profit]]&gt;0,Table_BDD[[#This Row],[Type]]="sell"),ROUND((Table_BDD[[#This Row],[Lvl Entrée]]-Table_BDD[[#This Row],[Lvl Sortie]])/(Table_BDD[[#This Row],[S / L]]-Table_BDD[[#This Row],[Lvl Entrée]]),1),IF(AND(Table_BDD[[#This Row],[Profit]]&gt;0,Table_BDD[[#This Row],[Type]]="buy"),ROUND((Table_BDD[[#This Row],[Lvl Sortie]]-Table_BDD[[#This Row],[Lvl Entrée]])/(Table_BDD[[#This Row],[Lvl Entrée]]-Table_BDD[[#This Row],[S / L]]),1),ROUND(Table_BDD[[#This Row],[Points]]/10,1)))))</calculatedColumnFormula>
    </tableColumn>
    <tableColumn id="29" xr3:uid="{7D759D0E-392C-417F-A78C-833B820A5369}" name="Equité avant trade" dataDxfId="85" dataCellStyle="Pourcentage">
      <calculatedColumnFormula>IF(Table_BDD[[#This Row],[Position]]="",AA3,Table_BDD[[#This Row],[Equité après trade]]-Table_BDD[[#This Row],[Profit]]-Table_BDD[[#This Row],[Echange]])</calculatedColumnFormula>
    </tableColumn>
    <tableColumn id="15" xr3:uid="{D277356F-01B9-4DDA-87CE-5F65980191C0}" name="Equité après trade" dataDxfId="84" totalsRowDxfId="83">
      <calculatedColumnFormula>$B$1+SUM($L$4:M4)</calculatedColumnFormula>
    </tableColumn>
    <tableColumn id="44" xr3:uid="{DA65800B-F0EF-42BD-8D25-8C0C8915436E}" name="Heure premiere valeur" dataDxfId="82" totalsRowDxfId="81">
      <calculatedColumnFormula>IF(Table_BDD[[#This Row],[Position]]="","",_xlfn.MINIFS(Table_BDD[Horodatage ouverture],Table_BDD[Date],Table_BDD[Date]))</calculatedColumnFormula>
    </tableColumn>
    <tableColumn id="43" xr3:uid="{71C1706F-05FF-4338-B7C0-FE2089D1C080}" name="Equité début de journée" dataDxfId="80" totalsRowDxfId="79">
      <calculatedColumnFormula>VLOOKUP(_xlfn.MINIFS(Table_BDD[Horodatage ouverture],Table_BDD[Date],Table_BDD[Date]),Table_BDD[[Horodatage ouverture]:[Heure derniere valeur]],AA$2)</calculatedColumnFormula>
    </tableColumn>
    <tableColumn id="45" xr3:uid="{F0E35848-3A1E-4BBA-A9C8-5116F5840E98}" name="Valeur début de journée unique" dataDxfId="78" totalsRowDxfId="77">
      <calculatedColumnFormula>IF(VLOOKUP(_xlfn.MINIFS(Table_BDD[Horodatage ouverture],Table_BDD[Date],Table_BDD[Date]),Table_BDD[[Horodatage ouverture]:[Heure derniere valeur]],AA$2)=Table_BDD[[#This Row],[Equité avant trade]],VLOOKUP(_xlfn.MINIFS(Table_BDD[Horodatage ouverture],Table_BDD[Date],Table_BDD[Date]),Table_BDD[[Horodatage ouverture]:[Heure derniere valeur]],AA$2),0)</calculatedColumnFormula>
    </tableColumn>
    <tableColumn id="37" xr3:uid="{6FFD8FA6-974A-4E2B-A4D2-A1DF8D2217A6}" name="Heure derniere valeur" dataDxfId="76" totalsRowDxfId="75">
      <calculatedColumnFormula>IF(Table_BDD[[#This Row],[Position]]="","",_xlfn.MAXIFS(Table_BDD[Horodatage ouverture],Table_BDD[Date],Table_BDD[Date]))</calculatedColumnFormula>
    </tableColumn>
    <tableColumn id="39" xr3:uid="{19160ED6-0DC8-4333-BF1B-C40F350A04BB}" name="Equité fin de journée" dataDxfId="74" totalsRowDxfId="73" dataCellStyle="Pourcentage">
      <calculatedColumnFormula>VLOOKUP(_xlfn.MAXIFS(Table_BDD[Horodatage cloture],Table_BDD[Date],Table_BDD[Date]),Table_BDD[[Horodatage ouverture]:[Heure derniere valeur]],AB$2)</calculatedColumnFormula>
    </tableColumn>
    <tableColumn id="46" xr3:uid="{197C20FB-0C2E-4068-9D49-49A0BAFC7AC3}" name="Valeur fin de journée unique" dataDxfId="72" totalsRowDxfId="71" dataCellStyle="Pourcentage">
      <calculatedColumnFormula>IF(VLOOKUP(_xlfn.MAXIFS(Table_BDD[Horodatage cloture],Table_BDD[Date],Table_BDD[Date]),Table_BDD[[Horodatage ouverture]:[Heure derniere valeur]],AB$2)=Table_BDD[[#This Row],[Equité après trade]],VLOOKUP(_xlfn.MAXIFS(Table_BDD[Horodatage cloture],Table_BDD[Date],Table_BDD[Date]),Table_BDD[[Horodatage ouverture]:[Heure derniere valeur]],AB$2),0)</calculatedColumnFormula>
    </tableColumn>
    <tableColumn id="40" xr3:uid="{707249D9-6F85-4AB1-97BA-BC60AAE6E095}" name="Equité fin de journée graphique" dataDxfId="70" totalsRowDxfId="69" dataCellStyle="Pourcentage">
      <calculatedColumnFormula>IF(Table_BDD[[#This Row],[Valeur fin de journée unique]]=0,#N/A,Table_BDD[[#This Row],[Valeur fin de journée unique]])</calculatedColumnFormula>
    </tableColumn>
    <tableColumn id="30" xr3:uid="{5581B6B7-67B0-4D5C-B935-F8D1921BACAE}" name="Variation" dataDxfId="68" dataCellStyle="Pourcentage">
      <calculatedColumnFormula>IF(Table_BDD[[#This Row],[Position]]="","",(Table_BDD[[#This Row],[Equité après trade]]-Table_BDD[[#This Row],[Equité avant trade]])/Table_BDD[[#This Row],[Equité avant trade]])</calculatedColumnFormula>
    </tableColumn>
    <tableColumn id="57" xr3:uid="{FD66C599-65D9-419D-9A13-F2BB7DEA1EE5}" name="variation de la journée" dataDxfId="67" totalsRowDxfId="66" dataCellStyle="Pourcentage">
      <calculatedColumnFormula>IFERROR(((INDEX(Table_BDD[[Trade n°]:[Valeur fin de journée unique]],Table_BDD[[#This Row],[Nb de trade du jour]]+Table_BDD[[#This Row],[Trade n°]]-1,21))-Table_BDD[[#This Row],[Valeur début de journée unique]])/Table_BDD[[#This Row],[Valeur début de journée unique]],"")</calculatedColumnFormula>
    </tableColumn>
    <tableColumn id="73" xr3:uid="{369D7308-DC60-4D19-A6B7-2FDD118954AA}" name="Sommet Drawdown" dataDxfId="65" totalsRowDxfId="64" dataCellStyle="Pourcentage">
      <calculatedColumnFormula>IF(Table_BDD[[#This Row],[Position]]="","",MAX(Table_BDD[[#This Row],[Cumul équité]],AL3))</calculatedColumnFormula>
    </tableColumn>
    <tableColumn id="74" xr3:uid="{009C9D32-5ED3-48F7-AF74-212042BEA4EE}" name="Creux Drawdown" dataDxfId="63" totalsRowDxfId="62" dataCellStyle="Pourcentage">
      <calculatedColumnFormula>IF(Table_BDD[[#This Row],[Position]]="","",MIN(Table_BDD[[#This Row],[Cumul équité]],AL3))</calculatedColumnFormula>
    </tableColumn>
    <tableColumn id="69" xr3:uid="{2156E18A-1F9B-4099-A4DF-7CC4DD5AA0A4}" name="Drawdown" dataDxfId="61" dataCellStyle="Pourcentage">
      <calculatedColumnFormula>IF(Table_BDD[[#This Row],[Sommet Drawdown]]&gt;AL3,"",Table_BDD[[#This Row],[Creux Drawdown]]/Table_BDD[[#This Row],[Sommet Drawdown]]-1)</calculatedColumnFormula>
    </tableColumn>
    <tableColumn id="17" xr3:uid="{15942224-174B-4917-BFD2-1436C8A826C2}" name="Points" dataDxfId="60" dataCellStyle="Pourcentage">
      <calculatedColumnFormula>IF(Table_BDD[[#This Row],[Position]]="","",IF(Table_BDD[[#This Row],[Type]]="buy",ROUND(Table_BDD[[#This Row],[Lvl Sortie]]-Table_BDD[[#This Row],[Lvl Entrée]],1),ROUND(Table_BDD[[#This Row],[Lvl Entrée]]-Table_BDD[[#This Row],[Lvl Sortie]],1)))</calculatedColumnFormula>
    </tableColumn>
    <tableColumn id="54" xr3:uid="{40157DDA-C7AB-44E8-B75C-F108E20F9395}" name="Points Gagnant" dataDxfId="59" totalsRowDxfId="58" dataCellStyle="Pourcentage">
      <calculatedColumnFormula>IF(Table_BDD[[#This Row],[Points]]&gt;0,Table_BDD[[#This Row],[Points]],"")</calculatedColumnFormula>
    </tableColumn>
    <tableColumn id="53" xr3:uid="{1F08BB6B-115F-45BB-8AAB-AD3B6CFAEF67}" name="Points perdants" dataDxfId="57" totalsRowDxfId="56" dataCellStyle="Pourcentage">
      <calculatedColumnFormula>IF(Table_BDD[[#This Row],[Points]]&lt;0,Table_BDD[[#This Row],[Points]],"")</calculatedColumnFormula>
    </tableColumn>
    <tableColumn id="35" xr3:uid="{318756BF-04C1-41FE-AC91-1A30FE775107}" name="Evolution des points" dataDxfId="55" totalsRowDxfId="54" dataCellStyle="Pourcentage">
      <calculatedColumnFormula>SUM($AO$4:AO4)</calculatedColumnFormula>
    </tableColumn>
    <tableColumn id="50" xr3:uid="{A25F1B26-C454-4FDB-A0B4-9BB52DC1CD0C}" name="Conforme" dataDxfId="53" totalsRowDxfId="52" dataCellStyle="Pourcentage">
      <calculatedColumnFormula>IF(Table_BDD[[#This Row],[Position]]="","",IF(Table_BDD[[#This Row],[Conformité]]="Conforme",1,0))</calculatedColumnFormula>
    </tableColumn>
    <tableColumn id="49" xr3:uid="{8B08B283-A797-4407-A06D-BD3171B79604}" name="Non conforme" dataDxfId="51" totalsRowDxfId="50" dataCellStyle="Pourcentage">
      <calculatedColumnFormula>IF(Table_BDD[[#This Row],[Position]]="","",IF(Table_BDD[[#This Row],[Conformité]]="Non conforme",1,0))</calculatedColumnFormula>
    </tableColumn>
    <tableColumn id="14" xr3:uid="{57638546-59F7-42E8-A74F-E4F302720DA0}" name="Conformité" dataDxfId="49"/>
    <tableColumn id="20" xr3:uid="{4591313D-6962-4340-90A3-AEF4FA595483}" name="Type de trade" dataDxfId="48" totalsRowDxfId="47"/>
    <tableColumn id="61" xr3:uid="{06D1C3C3-044E-4B1B-88E0-2BF161119846}" name="Configuration" dataDxfId="46" totalsRowDxfId="45"/>
    <tableColumn id="21" xr3:uid="{8F0184DD-49FB-476D-8ABF-2E7B500E9C50}" name="Conviction" dataDxfId="44" totalsRowDxfId="43"/>
    <tableColumn id="22" xr3:uid="{28044DD2-801B-4B06-A495-0E9770399400}" name="Timing" dataDxfId="42" totalsRowDxfId="41"/>
    <tableColumn id="23" xr3:uid="{790C22D5-E374-402A-BA22-86D9CBFDB9B0}" name="Sortie" dataDxfId="40" totalsRowDxfId="39"/>
    <tableColumn id="71" xr3:uid="{3BE234FC-D854-439B-AC0B-D754B3C3697F}" name="SW" dataDxfId="38">
      <calculatedColumnFormula>IF(Table_BDD[[#This Row],[Position]]="","Sans objet",IF(AND(Table_BDD[[#This Row],[Type]]="sell",Table_BDD[[#This Row],[S / L]]&lt;Table_BDD[[#This Row],[Lvl Entrée]],Table_BDD[[#This Row],[Lvl Sortie]]&lt;=Table_BDD[[#This Row],[S / L]]+2,Table_BDD[[#This Row],[Lvl Sortie]]&lt;Table_BDD[[#This Row],[Lvl Entrée]]-19),"Oui",IF(AND(Table_BDD[[#This Row],[Type]]="buy",Table_BDD[[#This Row],[S / L]]&gt;Table_BDD[[#This Row],[Lvl Entrée]],Table_BDD[[#This Row],[Lvl Sortie]]&gt;=Table_BDD[[#This Row],[S / L]]-2,Table_BDD[[#This Row],[S / L]]&gt;Table_BDD[[#This Row],[Lvl Entrée]]+19),"Oui","Non")))</calculatedColumnFormula>
    </tableColumn>
    <tableColumn id="24" xr3:uid="{DA633DF4-73F3-4514-950B-9FE032A24CFA}" name="BE" dataDxfId="37">
      <calculatedColumnFormula>IF(Table_BDD[[#This Row],[Position]]="","Sans objet",IF(AND(Table_BDD[[#This Row],[Type]]="sell",Table_BDD[[#This Row],[S / L]]&lt;Table_BDD[[#This Row],[Lvl Entrée]],Table_BDD[[#This Row],[Points]]&gt;=-1),"Oui",IF(AND(Table_BDD[[#This Row],[Type]]="sell",Table_BDD[[#This Row],[S / L]]&gt;Table_BDD[[#This Row],[Lvl Entrée]]),"Non",IF(AND(Table_BDD[[#This Row],[Type]]="buy",Table_BDD[[#This Row],[S / L]]&lt;Table_BDD[[#This Row],[Lvl Entrée]]),"Non",IF(AND(Table_BDD[[#This Row],[Type]]="buy",Table_BDD[[#This Row],[S / L]]&gt;Table_BDD[[#This Row],[Lvl Entrée]],Table_BDD[[#This Row],[Points]]&gt;=-1),"Oui")))))</calculatedColumnFormula>
    </tableColumn>
    <tableColumn id="25" xr3:uid="{7B7F8707-961F-498D-A4A9-74704D5807F6}" name="TP Théorique atteint" dataDxfId="36" totalsRowDxfId="35">
      <calculatedColumnFormula>IF(Table_BDD[[#This Row],[Position]]="","Sans objet",IF(Table_BDD[[#This Row],[T / P]]="","Non",IF(AND(Table_BDD[[#This Row],[Type]]="sell",Table_BDD[[#This Row],[Lvl Sortie]]&lt;=Table_BDD[[#This Row],[T / P]]),"Oui",IF(AND(Table_BDD[[#This Row],[Type]]="buy",Table_BDD[[#This Row],[Lvl Sortie]]&gt;=Table_BDD[[#This Row],[T / P]]),"Oui","Non"))))</calculatedColumnFormula>
    </tableColumn>
    <tableColumn id="55" xr3:uid="{CE708234-593C-47D3-A6FB-61B986130111}" name="EUR/USD" dataDxfId="34">
      <calculatedColumnFormula array="1">IFERROR(INDEX(downloadFile[#All],MATCH(Table_BDD[[#This Row],[Date]],downloadFile[[#All],[Column1]],0),2),BD3)</calculatedColumnFormula>
    </tableColumn>
    <tableColumn id="56" xr3:uid="{8030AB9B-2CEC-4C7C-A1B3-D13B5BA9B1B5}" name="Levier" dataDxfId="33">
      <calculatedColumnFormula>IF(Table_BDD[[#This Row],[Position]]="","",IF(Table_BDD[[#This Row],[Symbole]]="UsaInd",(Table_BDD[[#This Row],[Volume]]*Table_BDD[[#This Row],[Lvl Entrée]])/(Table_BDD[[#This Row],[Equité avant trade]]*Table_BDD[[#This Row],[EUR/USD]]),IF(Table_BDD[[#This Row],[Symbole]]="Ger30",(Table_BDD[[#This Row],[Volume]]*Table_BDD[[#This Row],[Lvl Entrée]])/Table_BDD[[#This Row],[Equité avant trade]],)))</calculatedColumnFormula>
    </tableColumn>
    <tableColumn id="26" xr3:uid="{66E935AB-59D1-4CD5-B9B7-16E3DD3A3F6A}" name="Note du trade" dataDxfId="32" totalsRowDxfId="31">
      <calculatedColumnFormula>IF(Table_BDD[[#This Row],[Position]]="","",IF(Table_BDD[[#This Row],[Conformité]]="Non conforme",0,(MROUND(3*((Table_BDD[[#This Row],[Conviction]]+Table_BDD[[#This Row],[Timing]]+Table_BDD[[#This Row],[Sortie]])+1)-2,1))))</calculatedColumnFormula>
    </tableColumn>
    <tableColumn id="27" xr3:uid="{18B8FCCE-C9AC-4FDB-A9E4-3E563CF7661D}" name="Note du résultat" dataDxfId="30">
      <calculatedColumnFormula>IF(Table_BDD[[#This Row],[Position]]="","",IF(Table_BDD[[#This Row],[Points]]&lt;-5,"--",IF(AND(Table_BDD[[#This Row],[Points]]&gt;=-5,Table_BDD[[#This Row],[Points]]&lt;-1.5),"-",IF(AND(Table_BDD[[#This Row],[Points]]&gt;=-1.5,Table_BDD[[#This Row],[Points]]&lt;1.5),"0",IF(AND(Table_BDD[[#This Row],[Points]]&gt;=1.5,Table_BDD[[#This Row],[Points]]&lt;=70),"+",IF(Table_BDD[[#This Row],[Points]]&gt;70,"++"))))))</calculatedColumnFormula>
    </tableColumn>
    <tableColumn id="28" xr3:uid="{201800F9-EF84-4864-9FEF-4D314159B02C}" name="Résultat" dataDxfId="29" totalsRowDxfId="28">
      <calculatedColumnFormula>IF(Table_BDD[[#This Row],[Position]]="","",IF(Table_BDD[[#This Row],[Points]]&gt;0,"Gagnant",IF(Table_BDD[[#This Row],[Points]]=0,"Flat","Perdant")))</calculatedColumnFormula>
    </tableColumn>
    <tableColumn id="52" xr3:uid="{6A5A501D-A865-4D21-B001-1A5316FE4F54}" name="Gagnant" dataDxfId="27" totalsRowDxfId="26">
      <calculatedColumnFormula>IF(Table_BDD[[#This Row],[Position]]="","",IF(Table_BDD[[#This Row],[Résultat]]="Gagnant",1,0))</calculatedColumnFormula>
    </tableColumn>
    <tableColumn id="51" xr3:uid="{9082E6C3-936F-4220-8447-0321D60858C9}" name="Perdant" dataDxfId="25" totalsRowDxfId="24">
      <calculatedColumnFormula>IF(Table_BDD[[#This Row],[Position]]="","",IF(Table_BDD[[#This Row],[Résultat]]="Perdant",1,0))</calculatedColumnFormula>
    </tableColumn>
    <tableColumn id="36" xr3:uid="{7873F10E-6501-486E-8158-8C795B9B261D}" name="NES" dataDxfId="23" totalsRowDxfId="22"/>
    <tableColumn id="16" xr3:uid="{90C95C03-9EBA-42F3-9DE2-83C1E7CDE771}" name="Sortie Prévue" dataDxfId="21" totalsRowDxfId="20">
      <calculatedColumnFormula>IF(Table_BDD[[#This Row],[T / P]]="","",Table_BDD[[#This Row],[T / P]])</calculatedColumnFormula>
    </tableColumn>
    <tableColumn id="18" xr3:uid="{6B106DDC-F665-4A68-964C-8F2668D4FFE5}" name="Commentaire avant trade" dataDxfId="19" totalsRowDxfId="18"/>
    <tableColumn id="76" xr3:uid="{D03FBE6F-3907-4916-8DDB-7844C666BEA0}" name="Psycho avant trade" dataDxfId="17" totalsRowDxfId="16"/>
    <tableColumn id="75" xr3:uid="{39F5DCE1-D8AD-4CB4-85F1-9C7DDB882119}" name="Tendance repérée avant trade" dataDxfId="15" totalsRowDxfId="14"/>
    <tableColumn id="19" xr3:uid="{8F19A5DA-2753-4F96-91F0-766A7FA2F524}" name="Commentaire aprés trade" dataDxfId="13" totalsRowDxfId="12"/>
    <tableColumn id="66" xr3:uid="{89E915D9-18E6-4180-AC8B-69C749892A23}" name="Version du plan" dataDxfId="11"/>
  </tableColumns>
  <tableStyleInfo name="TableStyleDark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725BC9B6-5BCA-462B-9D32-BF6B3B0AB06B}" name="downloadFile" displayName="downloadFile" ref="A1:B7725" tableType="queryTable" totalsRowShown="0">
  <autoFilter ref="A1:B7725" xr:uid="{0C398855-6F3A-4D88-8656-EF16C17BE58C}"/>
  <tableColumns count="2">
    <tableColumn id="1" xr3:uid="{C438D7EC-8E20-4AB6-8191-4F39A376D27D}" uniqueName="1" name="Column1" queryTableFieldId="1" dataDxfId="0"/>
    <tableColumn id="2" xr3:uid="{DF25E63C-12A0-4CA3-B395-D62D5124D514}" uniqueName="2" name="Column39" queryTableFieldId="2"/>
  </tableColumns>
  <tableStyleInfo name="TableStyleMedium7"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67C19040-52B7-48F6-AF94-EB845582A493}" name="Table_Analyse" displayName="Table_Analyse" ref="A1:F85" totalsRowShown="0" headerRowDxfId="9" dataDxfId="7" headerRowBorderDxfId="8" headerRowCellStyle="Pourcentage" dataCellStyle="Pourcentage">
  <autoFilter ref="A1:F85" xr:uid="{857A2A00-B176-44AF-9CD0-B3E0F6D59964}"/>
  <tableColumns count="6">
    <tableColumn id="6" xr3:uid="{29243D84-E14D-41F3-A1C3-12CB8F4F4A16}" name="N°" dataDxfId="6" dataCellStyle="Pourcentage">
      <calculatedColumnFormula>ROW()-1</calculatedColumnFormula>
    </tableColumn>
    <tableColumn id="1" xr3:uid="{1A80B86A-C545-4948-B4C3-61489426767B}" name="++" dataDxfId="5" dataCellStyle="Pourcentage"/>
    <tableColumn id="2" xr3:uid="{8824301C-244B-4348-A84E-FBC99303E8ED}" name="+" dataDxfId="4" dataCellStyle="Pourcentage"/>
    <tableColumn id="3" xr3:uid="{9F5437DD-90CB-493B-83AC-593D04D439EC}" name="0" dataDxfId="3" dataCellStyle="Pourcentage"/>
    <tableColumn id="4" xr3:uid="{B3233728-69E7-45F6-B5B6-52DFFD492907}" name="-" dataDxfId="2" dataCellStyle="Pourcentage">
      <calculatedColumnFormula array="1">IFERROR(INDEX(#REF!,SMALL(IF(Table_BDD[Note du résultat]="-",ROW(Table_BDD[Note du résultat])),ROWS(BDD!#REF!))-3,1),"")</calculatedColumnFormula>
    </tableColumn>
    <tableColumn id="5" xr3:uid="{A9C2ECD0-779E-4E09-835B-CD46D86569CC}" name="--" dataDxfId="1" dataCellStyle="Pourcentage"/>
  </tableColumns>
  <tableStyleInfo name="TableStyleMedium4"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theme/themeOverride1.xml><?xml version="1.0" encoding="utf-8"?>
<a:themeOverride xmlns:a="http://schemas.openxmlformats.org/drawingml/2006/main">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theme/themeOverride2.xml><?xml version="1.0" encoding="utf-8"?>
<a:themeOverride xmlns:a="http://schemas.openxmlformats.org/drawingml/2006/main">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theme/themeOverride3.xml><?xml version="1.0" encoding="utf-8"?>
<a:themeOverride xmlns:a="http://schemas.openxmlformats.org/drawingml/2006/main">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theme/themeOverride4.xml><?xml version="1.0" encoding="utf-8"?>
<a:themeOverride xmlns:a="http://schemas.openxmlformats.org/drawingml/2006/main">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theme/themeOverride5.xml><?xml version="1.0" encoding="utf-8"?>
<a:themeOverride xmlns:a="http://schemas.openxmlformats.org/drawingml/2006/main">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theme/themeOverride6.xml><?xml version="1.0" encoding="utf-8"?>
<a:themeOverride xmlns:a="http://schemas.openxmlformats.org/drawingml/2006/main">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theme/themeOverride7.xml><?xml version="1.0" encoding="utf-8"?>
<a:themeOverride xmlns:a="http://schemas.openxmlformats.org/drawingml/2006/main">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ivotTable" Target="../pivotTables/pivotTable1.xml"/></Relationships>
</file>

<file path=xl/worksheets/_rels/sheet3.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printerSettings" Target="../printerSettings/printerSettings3.bin"/><Relationship Id="rId1" Type="http://schemas.openxmlformats.org/officeDocument/2006/relationships/pivotTable" Target="../pivotTables/pivotTable2.xml"/></Relationships>
</file>

<file path=xl/worksheets/_rels/sheet5.xml.rels><?xml version="1.0" encoding="UTF-8" standalone="yes"?>
<Relationships xmlns="http://schemas.openxmlformats.org/package/2006/relationships"><Relationship Id="rId1" Type="http://schemas.openxmlformats.org/officeDocument/2006/relationships/pivotTable" Target="../pivotTables/pivotTable3.xml"/></Relationships>
</file>

<file path=xl/worksheets/_rels/sheet6.xml.rels><?xml version="1.0" encoding="UTF-8" standalone="yes"?>
<Relationships xmlns="http://schemas.openxmlformats.org/package/2006/relationships"><Relationship Id="rId2" Type="http://schemas.openxmlformats.org/officeDocument/2006/relationships/printerSettings" Target="../printerSettings/printerSettings4.bin"/><Relationship Id="rId1" Type="http://schemas.openxmlformats.org/officeDocument/2006/relationships/pivotTable" Target="../pivotTables/pivotTable4.xml"/></Relationships>
</file>

<file path=xl/worksheets/_rels/sheet7.xml.rels><?xml version="1.0" encoding="UTF-8" standalone="yes"?>
<Relationships xmlns="http://schemas.openxmlformats.org/package/2006/relationships"><Relationship Id="rId1" Type="http://schemas.openxmlformats.org/officeDocument/2006/relationships/pivotTable" Target="../pivotTables/pivotTable5.xml"/></Relationships>
</file>

<file path=xl/worksheets/_rels/sheet8.xml.rels><?xml version="1.0" encoding="UTF-8" standalone="yes"?>
<Relationships xmlns="http://schemas.openxmlformats.org/package/2006/relationships"><Relationship Id="rId1" Type="http://schemas.openxmlformats.org/officeDocument/2006/relationships/pivotTable" Target="../pivotTables/pivotTable6.xml"/></Relationships>
</file>

<file path=xl/worksheets/_rels/sheet9.xml.rels><?xml version="1.0" encoding="UTF-8" standalone="yes"?>
<Relationships xmlns="http://schemas.openxmlformats.org/package/2006/relationships"><Relationship Id="rId1" Type="http://schemas.openxmlformats.org/officeDocument/2006/relationships/table" Target="../tables/table2.xml"/></Relationships>
</file>

<file path=xl/worksheets/_rels/sheet10.xml.rels><?xml version="1.0" encoding="UTF-8" standalone="yes"?>
<Relationships xmlns="http://schemas.openxmlformats.org/package/2006/relationships"><Relationship Id="rId2" Type="http://schemas.openxmlformats.org/officeDocument/2006/relationships/printerSettings" Target="../printerSettings/printerSettings5.bin"/><Relationship Id="rId1" Type="http://schemas.openxmlformats.org/officeDocument/2006/relationships/pivotTable" Target="../pivotTables/pivotTable7.xml"/></Relationships>
</file>

<file path=xl/worksheets/_rels/sheet11.xml.rels><?xml version="1.0" encoding="UTF-8" standalone="yes"?>
<Relationships xmlns="http://schemas.openxmlformats.org/package/2006/relationships"><Relationship Id="rId1" Type="http://schemas.openxmlformats.org/officeDocument/2006/relationships/pivotTable" Target="../pivotTables/pivotTable8.xml"/></Relationships>
</file>

<file path=xl/worksheets/_rels/sheet12.xml.rels><?xml version="1.0" encoding="UTF-8" standalone="yes"?>
<Relationships xmlns="http://schemas.openxmlformats.org/package/2006/relationships"><Relationship Id="rId2" Type="http://schemas.openxmlformats.org/officeDocument/2006/relationships/printerSettings" Target="../printerSettings/printerSettings6.bin"/><Relationship Id="rId1" Type="http://schemas.openxmlformats.org/officeDocument/2006/relationships/pivotTable" Target="../pivotTables/pivotTable9.xml"/></Relationships>
</file>

<file path=xl/worksheets/_rels/sheet13.xml.rels><?xml version="1.0" encoding="UTF-8" standalone="yes"?>
<Relationships xmlns="http://schemas.openxmlformats.org/package/2006/relationships"><Relationship Id="rId1" Type="http://schemas.openxmlformats.org/officeDocument/2006/relationships/pivotTable" Target="../pivotTables/pivotTable10.xml"/></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ivotTable" Target="../pivotTables/pivotTable11.xml"/></Relationships>
</file>

<file path=xl/worksheets/_rels/sheet15.xml.rels><?xml version="1.0" encoding="UTF-8" standalone="yes"?>
<Relationships xmlns="http://schemas.openxmlformats.org/package/2006/relationships"><Relationship Id="rId2" Type="http://schemas.openxmlformats.org/officeDocument/2006/relationships/printerSettings" Target="../printerSettings/printerSettings7.bin"/><Relationship Id="rId1" Type="http://schemas.openxmlformats.org/officeDocument/2006/relationships/pivotTable" Target="../pivotTables/pivotTable12.xml"/></Relationships>
</file>

<file path=xl/worksheets/_rels/sheet16.xml.rels><?xml version="1.0" encoding="UTF-8" standalone="yes"?>
<Relationships xmlns="http://schemas.openxmlformats.org/package/2006/relationships"><Relationship Id="rId3" Type="http://schemas.microsoft.com/office/2007/relationships/slicer" Target="../slicers/slicer1.xml"/><Relationship Id="rId2" Type="http://schemas.openxmlformats.org/officeDocument/2006/relationships/drawing" Target="../drawings/drawing2.xml"/><Relationship Id="rId1" Type="http://schemas.openxmlformats.org/officeDocument/2006/relationships/printerSettings" Target="../printerSettings/printerSettings8.bin"/></Relationships>
</file>

<file path=xl/worksheets/_rels/sheet17.xml.rels><?xml version="1.0" encoding="UTF-8" standalone="yes"?>
<Relationships xmlns="http://schemas.openxmlformats.org/package/2006/relationships"><Relationship Id="rId3" Type="http://schemas.microsoft.com/office/2007/relationships/slicer" Target="../slicers/slicer2.xml"/><Relationship Id="rId2" Type="http://schemas.openxmlformats.org/officeDocument/2006/relationships/drawing" Target="../drawings/drawing3.xml"/><Relationship Id="rId1" Type="http://schemas.openxmlformats.org/officeDocument/2006/relationships/printerSettings" Target="../printerSettings/printerSettings9.bin"/></Relationships>
</file>

<file path=xl/worksheets/_rels/sheet18.xml.rels><?xml version="1.0" encoding="UTF-8" standalone="yes"?>
<Relationships xmlns="http://schemas.openxmlformats.org/package/2006/relationships"><Relationship Id="rId2" Type="http://schemas.openxmlformats.org/officeDocument/2006/relationships/table" Target="../tables/table3.xml"/><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A716B9-2323-424D-87CA-B8B1F97A8607}">
  <sheetPr codeName="Feuil1"/>
  <dimension ref="B1:N12"/>
  <sheetViews>
    <sheetView topLeftCell="C1" workbookViewId="0">
      <selection activeCell="L13" sqref="L13"/>
    </sheetView>
  </sheetViews>
  <sheetFormatPr baseColWidth="10" defaultRowHeight="14.25" x14ac:dyDescent="0.2"/>
  <cols>
    <col min="1" max="1" width="11" style="1"/>
    <col min="2" max="2" width="12.5" style="1" bestFit="1" customWidth="1"/>
    <col min="3" max="3" width="14.375" style="1" bestFit="1" customWidth="1"/>
    <col min="4" max="4" width="17" style="1" bestFit="1" customWidth="1"/>
    <col min="5" max="9" width="11" style="1"/>
    <col min="10" max="10" width="17.75" style="1" bestFit="1" customWidth="1"/>
    <col min="11" max="16384" width="11" style="1"/>
  </cols>
  <sheetData>
    <row r="1" spans="2:14" x14ac:dyDescent="0.2">
      <c r="B1" s="2" t="s">
        <v>15</v>
      </c>
      <c r="C1" s="2" t="s">
        <v>19</v>
      </c>
      <c r="D1" s="144" t="s">
        <v>198</v>
      </c>
      <c r="E1" s="1" t="s">
        <v>22</v>
      </c>
      <c r="F1" s="1" t="s">
        <v>23</v>
      </c>
      <c r="G1" s="1" t="s">
        <v>12</v>
      </c>
      <c r="H1" s="144" t="s">
        <v>221</v>
      </c>
      <c r="I1" s="1" t="s">
        <v>29</v>
      </c>
      <c r="J1" s="1" t="s">
        <v>26</v>
      </c>
      <c r="K1" s="1" t="s">
        <v>201</v>
      </c>
      <c r="L1" s="1" t="s">
        <v>207</v>
      </c>
      <c r="M1" s="144" t="s">
        <v>224</v>
      </c>
      <c r="N1" s="144" t="s">
        <v>201</v>
      </c>
    </row>
    <row r="2" spans="2:14" x14ac:dyDescent="0.2">
      <c r="B2" s="2"/>
      <c r="C2" s="2"/>
      <c r="D2" s="2"/>
    </row>
    <row r="3" spans="2:14" x14ac:dyDescent="0.2">
      <c r="B3" s="1" t="s">
        <v>16</v>
      </c>
      <c r="C3" s="2" t="s">
        <v>20</v>
      </c>
      <c r="D3" s="144" t="s">
        <v>199</v>
      </c>
      <c r="E3" s="1">
        <v>0</v>
      </c>
      <c r="F3" s="1">
        <v>0</v>
      </c>
      <c r="G3" s="1">
        <v>0</v>
      </c>
      <c r="H3" s="1" t="s">
        <v>30</v>
      </c>
      <c r="I3" s="1" t="s">
        <v>30</v>
      </c>
      <c r="J3" s="1" t="s">
        <v>30</v>
      </c>
      <c r="K3" s="1" t="s">
        <v>202</v>
      </c>
      <c r="L3" s="1" t="s">
        <v>208</v>
      </c>
      <c r="M3" s="144" t="s">
        <v>234</v>
      </c>
      <c r="N3" s="144" t="s">
        <v>202</v>
      </c>
    </row>
    <row r="4" spans="2:14" x14ac:dyDescent="0.2">
      <c r="B4" s="1" t="s">
        <v>17</v>
      </c>
      <c r="C4" s="2" t="s">
        <v>21</v>
      </c>
      <c r="D4" s="144" t="s">
        <v>217</v>
      </c>
      <c r="E4" s="1">
        <v>1</v>
      </c>
      <c r="F4" s="1">
        <v>1</v>
      </c>
      <c r="G4" s="1">
        <v>1</v>
      </c>
      <c r="H4" s="1" t="s">
        <v>31</v>
      </c>
      <c r="I4" s="1" t="s">
        <v>31</v>
      </c>
      <c r="J4" s="1" t="s">
        <v>31</v>
      </c>
      <c r="K4" s="1" t="s">
        <v>203</v>
      </c>
      <c r="L4" s="1" t="s">
        <v>209</v>
      </c>
      <c r="M4" s="1" t="s">
        <v>225</v>
      </c>
      <c r="N4" s="144" t="s">
        <v>203</v>
      </c>
    </row>
    <row r="5" spans="2:14" x14ac:dyDescent="0.2">
      <c r="C5" s="2"/>
      <c r="D5" s="144" t="s">
        <v>218</v>
      </c>
      <c r="H5" s="144" t="s">
        <v>237</v>
      </c>
      <c r="I5" s="144" t="s">
        <v>237</v>
      </c>
      <c r="J5" s="144" t="s">
        <v>237</v>
      </c>
      <c r="L5" s="1" t="s">
        <v>210</v>
      </c>
      <c r="M5" s="1" t="s">
        <v>226</v>
      </c>
      <c r="N5" s="144" t="s">
        <v>200</v>
      </c>
    </row>
    <row r="6" spans="2:14" x14ac:dyDescent="0.2">
      <c r="L6" s="1" t="s">
        <v>211</v>
      </c>
      <c r="M6" s="1" t="s">
        <v>227</v>
      </c>
    </row>
    <row r="7" spans="2:14" x14ac:dyDescent="0.2">
      <c r="L7" s="1" t="s">
        <v>212</v>
      </c>
      <c r="M7" s="1" t="s">
        <v>228</v>
      </c>
    </row>
    <row r="8" spans="2:14" x14ac:dyDescent="0.2">
      <c r="L8" s="1" t="s">
        <v>213</v>
      </c>
      <c r="M8" s="1" t="s">
        <v>229</v>
      </c>
    </row>
    <row r="9" spans="2:14" x14ac:dyDescent="0.2">
      <c r="L9" s="1" t="s">
        <v>214</v>
      </c>
      <c r="M9" s="1" t="s">
        <v>230</v>
      </c>
    </row>
    <row r="10" spans="2:14" x14ac:dyDescent="0.2">
      <c r="L10" s="1" t="s">
        <v>215</v>
      </c>
      <c r="M10" s="144" t="s">
        <v>231</v>
      </c>
    </row>
    <row r="11" spans="2:14" x14ac:dyDescent="0.2">
      <c r="L11" s="1" t="s">
        <v>216</v>
      </c>
      <c r="M11" s="144" t="s">
        <v>232</v>
      </c>
    </row>
    <row r="12" spans="2:14" x14ac:dyDescent="0.2">
      <c r="L12" s="1" t="s">
        <v>247</v>
      </c>
    </row>
  </sheetData>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2A6A257-BB7B-4C71-A961-095AB70A2919}">
  <dimension ref="A3:B162"/>
  <sheetViews>
    <sheetView topLeftCell="A139" workbookViewId="0">
      <selection activeCell="A3" sqref="A3"/>
    </sheetView>
  </sheetViews>
  <sheetFormatPr baseColWidth="10" defaultRowHeight="14.25" x14ac:dyDescent="0.2"/>
  <cols>
    <col min="1" max="1" width="21.625" bestFit="1" customWidth="1"/>
    <col min="2" max="2" width="18.5" bestFit="1" customWidth="1"/>
  </cols>
  <sheetData>
    <row r="3" spans="1:2" x14ac:dyDescent="0.2">
      <c r="A3" s="3" t="s">
        <v>44</v>
      </c>
      <c r="B3" t="s">
        <v>50</v>
      </c>
    </row>
    <row r="4" spans="1:2" x14ac:dyDescent="0.2">
      <c r="A4" s="98">
        <v>43864.404861111114</v>
      </c>
      <c r="B4" s="99">
        <v>0</v>
      </c>
    </row>
    <row r="5" spans="1:2" x14ac:dyDescent="0.2">
      <c r="A5" s="98">
        <v>43864.659872685188</v>
      </c>
      <c r="B5" s="99">
        <v>-4.6680394234420719E-3</v>
      </c>
    </row>
    <row r="6" spans="1:2" x14ac:dyDescent="0.2">
      <c r="A6" s="98">
        <v>43864.660358796296</v>
      </c>
      <c r="B6" s="99">
        <v>-9.2361208292517372E-3</v>
      </c>
    </row>
    <row r="7" spans="1:2" x14ac:dyDescent="0.2">
      <c r="A7" s="98">
        <v>43864.672673611109</v>
      </c>
      <c r="B7" s="99">
        <v>-1.3794206433297984E-2</v>
      </c>
    </row>
    <row r="8" spans="1:2" x14ac:dyDescent="0.2">
      <c r="A8" s="98">
        <v>43864.68990740741</v>
      </c>
      <c r="B8" s="99">
        <v>0</v>
      </c>
    </row>
    <row r="9" spans="1:2" x14ac:dyDescent="0.2">
      <c r="A9" s="98">
        <v>43865.646284722221</v>
      </c>
      <c r="B9" s="99">
        <v>0</v>
      </c>
    </row>
    <row r="10" spans="1:2" x14ac:dyDescent="0.2">
      <c r="A10" s="98">
        <v>43865.650092592594</v>
      </c>
      <c r="B10" s="99">
        <v>-4.4730440241701475E-3</v>
      </c>
    </row>
    <row r="11" spans="1:2" x14ac:dyDescent="0.2">
      <c r="A11" s="98">
        <v>43865.650324074071</v>
      </c>
      <c r="B11" s="99">
        <v>-8.9951345836930541E-3</v>
      </c>
    </row>
    <row r="12" spans="1:2" x14ac:dyDescent="0.2">
      <c r="A12" s="98">
        <v>43865.650868055556</v>
      </c>
      <c r="B12" s="99">
        <v>-1.3556462371498101E-2</v>
      </c>
    </row>
    <row r="13" spans="1:2" x14ac:dyDescent="0.2">
      <c r="A13" s="98">
        <v>43865.652002314811</v>
      </c>
      <c r="B13" s="99">
        <v>-1.8068743623950501E-2</v>
      </c>
    </row>
    <row r="14" spans="1:2" x14ac:dyDescent="0.2">
      <c r="A14" s="98">
        <v>43865.663611111115</v>
      </c>
      <c r="B14" s="99">
        <v>-2.5308012242015732E-3</v>
      </c>
    </row>
    <row r="15" spans="1:2" x14ac:dyDescent="0.2">
      <c r="A15" s="98">
        <v>43865.718124999999</v>
      </c>
      <c r="B15" s="99">
        <v>-2.1384289413796109E-3</v>
      </c>
    </row>
    <row r="16" spans="1:2" x14ac:dyDescent="0.2">
      <c r="A16" s="98">
        <v>43865.72861111111</v>
      </c>
      <c r="B16" s="99">
        <v>-6.7193753433257841E-3</v>
      </c>
    </row>
    <row r="17" spans="1:2" x14ac:dyDescent="0.2">
      <c r="A17" s="98">
        <v>43865.730069444442</v>
      </c>
      <c r="B17" s="99">
        <v>-1.1261084516989706E-2</v>
      </c>
    </row>
    <row r="18" spans="1:2" x14ac:dyDescent="0.2">
      <c r="A18" s="98">
        <v>43865.730520833335</v>
      </c>
      <c r="B18" s="99">
        <v>-1.5832221611865482E-2</v>
      </c>
    </row>
    <row r="19" spans="1:2" x14ac:dyDescent="0.2">
      <c r="A19" s="98">
        <v>43865.739039351851</v>
      </c>
      <c r="B19" s="99">
        <v>-2.0295456328965011E-2</v>
      </c>
    </row>
    <row r="20" spans="1:2" x14ac:dyDescent="0.2">
      <c r="A20" s="98">
        <v>43865.740960648145</v>
      </c>
      <c r="B20" s="99">
        <v>-2.4788118967276285E-2</v>
      </c>
    </row>
    <row r="21" spans="1:2" x14ac:dyDescent="0.2">
      <c r="A21" s="98">
        <v>43865.741770833331</v>
      </c>
      <c r="B21" s="99">
        <v>-2.9339637448010714E-2</v>
      </c>
    </row>
    <row r="22" spans="1:2" x14ac:dyDescent="0.2">
      <c r="A22" s="98">
        <v>43865.753437500003</v>
      </c>
      <c r="B22" s="99">
        <v>-3.3900965235815761E-2</v>
      </c>
    </row>
    <row r="23" spans="1:2" x14ac:dyDescent="0.2">
      <c r="A23" s="98">
        <v>43865.755104166667</v>
      </c>
      <c r="B23" s="99">
        <v>-3.8442674409479793E-2</v>
      </c>
    </row>
    <row r="24" spans="1:2" x14ac:dyDescent="0.2">
      <c r="A24" s="98">
        <v>43865.758425925924</v>
      </c>
      <c r="B24" s="99">
        <v>-4.3004002197284841E-2</v>
      </c>
    </row>
    <row r="25" spans="1:2" x14ac:dyDescent="0.2">
      <c r="A25" s="98">
        <v>43865.762083333335</v>
      </c>
      <c r="B25" s="99">
        <v>-4.7584948599231014E-2</v>
      </c>
    </row>
    <row r="26" spans="1:2" x14ac:dyDescent="0.2">
      <c r="A26" s="98">
        <v>43865.841412037036</v>
      </c>
      <c r="B26" s="99">
        <v>-5.210703915875381E-2</v>
      </c>
    </row>
    <row r="27" spans="1:2" x14ac:dyDescent="0.2">
      <c r="A27" s="98">
        <v>43865.914444444446</v>
      </c>
      <c r="B27" s="99">
        <v>-7.4158361453348087E-3</v>
      </c>
    </row>
    <row r="28" spans="1:2" x14ac:dyDescent="0.2">
      <c r="A28" s="98">
        <v>43866.668368055558</v>
      </c>
      <c r="B28" s="99">
        <v>-1.1898689476575464E-2</v>
      </c>
    </row>
    <row r="29" spans="1:2" x14ac:dyDescent="0.2">
      <c r="A29" s="98">
        <v>43866.668923611112</v>
      </c>
      <c r="B29" s="99">
        <v>-1.6430589343168767E-2</v>
      </c>
    </row>
    <row r="30" spans="1:2" x14ac:dyDescent="0.2">
      <c r="A30" s="98">
        <v>43866.669479166667</v>
      </c>
      <c r="B30" s="99">
        <v>-2.0991917130973925E-2</v>
      </c>
    </row>
    <row r="31" spans="1:2" x14ac:dyDescent="0.2">
      <c r="A31" s="98">
        <v>43866.669583333336</v>
      </c>
      <c r="B31" s="99">
        <v>-2.5082398179392618E-2</v>
      </c>
    </row>
    <row r="32" spans="1:2" x14ac:dyDescent="0.2">
      <c r="A32" s="98">
        <v>43866.672361111108</v>
      </c>
      <c r="B32" s="99">
        <v>-2.962410735305665E-2</v>
      </c>
    </row>
    <row r="33" spans="1:2" x14ac:dyDescent="0.2">
      <c r="A33" s="98">
        <v>43866.673530092594</v>
      </c>
      <c r="B33" s="99">
        <v>-3.3694969787334217E-2</v>
      </c>
    </row>
    <row r="34" spans="1:2" x14ac:dyDescent="0.2">
      <c r="A34" s="98">
        <v>43866.67386574074</v>
      </c>
      <c r="B34" s="99">
        <v>-3.8570195401396945E-2</v>
      </c>
    </row>
    <row r="35" spans="1:2" x14ac:dyDescent="0.2">
      <c r="A35" s="98">
        <v>43866.676203703704</v>
      </c>
      <c r="B35" s="99">
        <v>-4.2748960213450538E-2</v>
      </c>
    </row>
    <row r="36" spans="1:2" x14ac:dyDescent="0.2">
      <c r="A36" s="98">
        <v>43866.677523148152</v>
      </c>
      <c r="B36" s="99">
        <v>-4.7251432158832318E-2</v>
      </c>
    </row>
    <row r="37" spans="1:2" x14ac:dyDescent="0.2">
      <c r="A37" s="98">
        <v>43866.677789351852</v>
      </c>
      <c r="B37" s="99">
        <v>-5.215608569410668E-2</v>
      </c>
    </row>
    <row r="38" spans="1:2" x14ac:dyDescent="0.2">
      <c r="A38" s="98">
        <v>43866.685104166667</v>
      </c>
      <c r="B38" s="99">
        <v>-5.6599701797065083E-2</v>
      </c>
    </row>
    <row r="39" spans="1:2" x14ac:dyDescent="0.2">
      <c r="A39" s="98">
        <v>43866.685416666667</v>
      </c>
      <c r="B39" s="99">
        <v>-6.1141410970729115E-2</v>
      </c>
    </row>
    <row r="40" spans="1:2" x14ac:dyDescent="0.2">
      <c r="A40" s="98">
        <v>43866.685706018521</v>
      </c>
      <c r="B40" s="99">
        <v>-6.6134348269638266E-2</v>
      </c>
    </row>
    <row r="41" spans="1:2" x14ac:dyDescent="0.2">
      <c r="A41" s="98">
        <v>43866.687210648146</v>
      </c>
      <c r="B41" s="99">
        <v>-6.7919642156478055E-2</v>
      </c>
    </row>
    <row r="42" spans="1:2" x14ac:dyDescent="0.2">
      <c r="A42" s="98">
        <v>43866.687650462962</v>
      </c>
      <c r="B42" s="99">
        <v>-7.2373067566507188E-2</v>
      </c>
    </row>
    <row r="43" spans="1:2" x14ac:dyDescent="0.2">
      <c r="A43" s="98">
        <v>43866.691828703704</v>
      </c>
      <c r="B43" s="99">
        <v>-7.7316958330063579E-2</v>
      </c>
    </row>
    <row r="44" spans="1:2" x14ac:dyDescent="0.2">
      <c r="A44" s="98">
        <v>43866.695</v>
      </c>
      <c r="B44" s="99">
        <v>-8.2290277014831714E-2</v>
      </c>
    </row>
    <row r="45" spans="1:2" x14ac:dyDescent="0.2">
      <c r="A45" s="98">
        <v>43866.695335648146</v>
      </c>
      <c r="B45" s="99">
        <v>-8.6419995291532659E-2</v>
      </c>
    </row>
    <row r="46" spans="1:2" x14ac:dyDescent="0.2">
      <c r="A46" s="98">
        <v>43866.695879629631</v>
      </c>
      <c r="B46" s="99">
        <v>-9.096170446519658E-2</v>
      </c>
    </row>
    <row r="47" spans="1:2" x14ac:dyDescent="0.2">
      <c r="A47" s="98">
        <v>43866.831435185188</v>
      </c>
      <c r="B47" s="99">
        <v>-1.775484579769393E-3</v>
      </c>
    </row>
    <row r="48" spans="1:2" x14ac:dyDescent="0.2">
      <c r="A48" s="98">
        <v>43867.646828703706</v>
      </c>
      <c r="B48" s="99">
        <v>-1.1967354626069016E-3</v>
      </c>
    </row>
    <row r="49" spans="1:2" x14ac:dyDescent="0.2">
      <c r="A49" s="98">
        <v>43867.648020833331</v>
      </c>
      <c r="B49" s="99">
        <v>-5.6501608726359231E-3</v>
      </c>
    </row>
    <row r="50" spans="1:2" x14ac:dyDescent="0.2">
      <c r="A50" s="98">
        <v>43867.648611111108</v>
      </c>
      <c r="B50" s="99">
        <v>-1.0652907478615692E-2</v>
      </c>
    </row>
    <row r="51" spans="1:2" x14ac:dyDescent="0.2">
      <c r="A51" s="98">
        <v>43867.65048611111</v>
      </c>
      <c r="B51" s="99">
        <v>-1.4655104763399596E-2</v>
      </c>
    </row>
    <row r="52" spans="1:2" x14ac:dyDescent="0.2">
      <c r="A52" s="98">
        <v>43867.652858796297</v>
      </c>
      <c r="B52" s="99">
        <v>-1.9128148787569632E-2</v>
      </c>
    </row>
    <row r="53" spans="1:2" x14ac:dyDescent="0.2">
      <c r="A53" s="98">
        <v>43867.65351851852</v>
      </c>
      <c r="B53" s="99">
        <v>-2.3571764890528257E-2</v>
      </c>
    </row>
    <row r="54" spans="1:2" x14ac:dyDescent="0.2">
      <c r="A54" s="98">
        <v>43867.657905092594</v>
      </c>
      <c r="B54" s="99">
        <v>-2.766224593894695E-2</v>
      </c>
    </row>
    <row r="55" spans="1:2" x14ac:dyDescent="0.2">
      <c r="A55" s="98">
        <v>43867.65996527778</v>
      </c>
      <c r="B55" s="99">
        <v>-3.2154908577258223E-2</v>
      </c>
    </row>
    <row r="56" spans="1:2" x14ac:dyDescent="0.2">
      <c r="A56" s="98">
        <v>43867.660370370373</v>
      </c>
      <c r="B56" s="99">
        <v>-3.6647571215569386E-2</v>
      </c>
    </row>
    <row r="57" spans="1:2" x14ac:dyDescent="0.2">
      <c r="A57" s="98">
        <v>43867.660671296297</v>
      </c>
      <c r="B57" s="99">
        <v>-4.1189280389233307E-2</v>
      </c>
    </row>
    <row r="58" spans="1:2" x14ac:dyDescent="0.2">
      <c r="A58" s="98">
        <v>43867.724351851852</v>
      </c>
      <c r="B58" s="99">
        <v>0</v>
      </c>
    </row>
    <row r="59" spans="1:2" x14ac:dyDescent="0.2">
      <c r="A59" s="98">
        <v>43867.882291666669</v>
      </c>
      <c r="B59" s="99">
        <v>0</v>
      </c>
    </row>
    <row r="60" spans="1:2" x14ac:dyDescent="0.2">
      <c r="A60" s="98">
        <v>43868.468923611108</v>
      </c>
      <c r="B60" s="99">
        <v>0</v>
      </c>
    </row>
    <row r="61" spans="1:2" x14ac:dyDescent="0.2">
      <c r="A61" s="98">
        <v>43868.471076388887</v>
      </c>
      <c r="B61" s="99">
        <v>0</v>
      </c>
    </row>
    <row r="62" spans="1:2" x14ac:dyDescent="0.2">
      <c r="A62" s="98">
        <v>43868.61074074074</v>
      </c>
      <c r="B62" s="99">
        <v>0</v>
      </c>
    </row>
    <row r="63" spans="1:2" x14ac:dyDescent="0.2">
      <c r="A63" s="98">
        <v>43871.628564814811</v>
      </c>
      <c r="B63" s="99">
        <v>-4.3706877630287355E-3</v>
      </c>
    </row>
    <row r="64" spans="1:2" x14ac:dyDescent="0.2">
      <c r="A64" s="98">
        <v>43871.634606481479</v>
      </c>
      <c r="B64" s="99">
        <v>0</v>
      </c>
    </row>
    <row r="65" spans="1:2" x14ac:dyDescent="0.2">
      <c r="A65" s="98">
        <v>43871.653194444443</v>
      </c>
      <c r="B65" s="99">
        <v>-4.3691349112874311E-3</v>
      </c>
    </row>
    <row r="66" spans="1:2" x14ac:dyDescent="0.2">
      <c r="A66" s="98">
        <v>43871.653692129628</v>
      </c>
      <c r="B66" s="99">
        <v>-9.2701645074275696E-3</v>
      </c>
    </row>
    <row r="67" spans="1:2" x14ac:dyDescent="0.2">
      <c r="A67" s="98">
        <v>43871.661886574075</v>
      </c>
      <c r="B67" s="99">
        <v>-8.7097754644578362E-3</v>
      </c>
    </row>
    <row r="68" spans="1:2" x14ac:dyDescent="0.2">
      <c r="A68" s="98">
        <v>43871.666643518518</v>
      </c>
      <c r="B68" s="99">
        <v>-1.3145397211352106E-2</v>
      </c>
    </row>
    <row r="69" spans="1:2" x14ac:dyDescent="0.2">
      <c r="A69" s="98">
        <v>43871.668993055559</v>
      </c>
      <c r="B69" s="99">
        <v>-1.7087116750883147E-2</v>
      </c>
    </row>
    <row r="70" spans="1:2" x14ac:dyDescent="0.2">
      <c r="A70" s="98">
        <v>43871.670254629629</v>
      </c>
      <c r="B70" s="99">
        <v>-2.1446753542798458E-2</v>
      </c>
    </row>
    <row r="71" spans="1:2" x14ac:dyDescent="0.2">
      <c r="A71" s="98">
        <v>43871.673263888886</v>
      </c>
      <c r="B71" s="99">
        <v>-2.5796892215341205E-2</v>
      </c>
    </row>
    <row r="72" spans="1:2" x14ac:dyDescent="0.2">
      <c r="A72" s="98">
        <v>43871.675266203703</v>
      </c>
      <c r="B72" s="99">
        <v>-3.0213517723490568E-2</v>
      </c>
    </row>
    <row r="73" spans="1:2" x14ac:dyDescent="0.2">
      <c r="A73" s="98">
        <v>43871.679965277777</v>
      </c>
      <c r="B73" s="99">
        <v>-3.4554158276661084E-2</v>
      </c>
    </row>
    <row r="74" spans="1:2" x14ac:dyDescent="0.2">
      <c r="A74" s="98">
        <v>43871.687962962962</v>
      </c>
      <c r="B74" s="99">
        <v>-3.8999278142927696E-2</v>
      </c>
    </row>
    <row r="75" spans="1:2" x14ac:dyDescent="0.2">
      <c r="A75" s="98">
        <v>43871.693495370368</v>
      </c>
      <c r="B75" s="99">
        <v>-4.3396907412332264E-2</v>
      </c>
    </row>
    <row r="76" spans="1:2" x14ac:dyDescent="0.2">
      <c r="A76" s="98">
        <v>43871.883113425924</v>
      </c>
      <c r="B76" s="99">
        <v>-4.7889517875460474E-2</v>
      </c>
    </row>
    <row r="77" spans="1:2" x14ac:dyDescent="0.2">
      <c r="A77" s="98">
        <v>43871.909224537034</v>
      </c>
      <c r="B77" s="99">
        <v>-4.7424110026214605E-2</v>
      </c>
    </row>
    <row r="78" spans="1:2" x14ac:dyDescent="0.2">
      <c r="A78" s="98">
        <v>43871.912407407406</v>
      </c>
      <c r="B78" s="99">
        <v>-5.1821739295619396E-2</v>
      </c>
    </row>
    <row r="79" spans="1:2" x14ac:dyDescent="0.2">
      <c r="A79" s="98">
        <v>43871.91300925926</v>
      </c>
      <c r="B79" s="99">
        <v>-5.6276357281258238E-2</v>
      </c>
    </row>
    <row r="80" spans="1:2" x14ac:dyDescent="0.2">
      <c r="A80" s="98">
        <v>43871.914178240739</v>
      </c>
      <c r="B80" s="99">
        <v>-6.0635994073173438E-2</v>
      </c>
    </row>
    <row r="81" spans="1:2" x14ac:dyDescent="0.2">
      <c r="A81" s="98">
        <v>43871.914895833332</v>
      </c>
      <c r="B81" s="99">
        <v>-6.5071615820067485E-2</v>
      </c>
    </row>
    <row r="82" spans="1:2" x14ac:dyDescent="0.2">
      <c r="A82" s="98">
        <v>43872.647037037037</v>
      </c>
      <c r="B82" s="99">
        <v>-7.0333573952357287E-2</v>
      </c>
    </row>
    <row r="83" spans="1:2" x14ac:dyDescent="0.2">
      <c r="A83" s="98">
        <v>43872.648634259262</v>
      </c>
      <c r="B83" s="99">
        <v>-7.5111127996656646E-2</v>
      </c>
    </row>
    <row r="84" spans="1:2" x14ac:dyDescent="0.2">
      <c r="A84" s="98">
        <v>43872.648969907408</v>
      </c>
      <c r="B84" s="99">
        <v>-7.9546749743550693E-2</v>
      </c>
    </row>
    <row r="85" spans="1:2" x14ac:dyDescent="0.2">
      <c r="A85" s="98">
        <v>43872.650023148148</v>
      </c>
      <c r="B85" s="99">
        <v>-8.3944379012955372E-2</v>
      </c>
    </row>
    <row r="86" spans="1:2" x14ac:dyDescent="0.2">
      <c r="A86" s="98">
        <v>43872.650902777779</v>
      </c>
      <c r="B86" s="99">
        <v>-8.8370502640477078E-2</v>
      </c>
    </row>
    <row r="87" spans="1:2" x14ac:dyDescent="0.2">
      <c r="A87" s="98">
        <v>43872.729953703703</v>
      </c>
      <c r="B87" s="99">
        <v>-9.3005584894190862E-2</v>
      </c>
    </row>
    <row r="88" spans="1:2" x14ac:dyDescent="0.2">
      <c r="A88" s="98">
        <v>43872.733344907407</v>
      </c>
      <c r="B88" s="99">
        <v>-9.7916112609703232E-2</v>
      </c>
    </row>
    <row r="89" spans="1:2" x14ac:dyDescent="0.2">
      <c r="A89" s="98">
        <v>43872.734247685185</v>
      </c>
      <c r="B89" s="99">
        <v>-0.10267467041525769</v>
      </c>
    </row>
    <row r="90" spans="1:2" x14ac:dyDescent="0.2">
      <c r="A90" s="98">
        <v>43872.848368055558</v>
      </c>
      <c r="B90" s="99">
        <v>-0.1021427757304052</v>
      </c>
    </row>
    <row r="91" spans="1:2" x14ac:dyDescent="0.2">
      <c r="A91" s="98">
        <v>43872.850034722222</v>
      </c>
      <c r="B91" s="99">
        <v>-0.10694882413282158</v>
      </c>
    </row>
    <row r="92" spans="1:2" x14ac:dyDescent="0.2">
      <c r="A92" s="98">
        <v>43872.876944444448</v>
      </c>
      <c r="B92" s="99">
        <v>-0.11180236313209979</v>
      </c>
    </row>
    <row r="93" spans="1:2" x14ac:dyDescent="0.2">
      <c r="A93" s="98">
        <v>43872.881249999999</v>
      </c>
      <c r="B93" s="99">
        <v>-0.11615250180464254</v>
      </c>
    </row>
    <row r="94" spans="1:2" x14ac:dyDescent="0.2">
      <c r="A94" s="98">
        <v>43872.881851851853</v>
      </c>
      <c r="B94" s="99">
        <v>-0.1206546103871432</v>
      </c>
    </row>
    <row r="95" spans="1:2" x14ac:dyDescent="0.2">
      <c r="A95" s="98">
        <v>43872.882847222223</v>
      </c>
      <c r="B95" s="99">
        <v>-0.1251187264921545</v>
      </c>
    </row>
    <row r="96" spans="1:2" x14ac:dyDescent="0.2">
      <c r="A96" s="98">
        <v>43873.48300925926</v>
      </c>
      <c r="B96" s="99">
        <v>-0.12956384635842089</v>
      </c>
    </row>
    <row r="97" spans="1:2" x14ac:dyDescent="0.2">
      <c r="A97" s="98">
        <v>43873.62462962963</v>
      </c>
      <c r="B97" s="99">
        <v>-0.11209680483264306</v>
      </c>
    </row>
    <row r="98" spans="1:2" x14ac:dyDescent="0.2">
      <c r="A98" s="98">
        <v>43873.68304398148</v>
      </c>
      <c r="B98" s="99">
        <v>-0.11693134759317647</v>
      </c>
    </row>
    <row r="99" spans="1:2" x14ac:dyDescent="0.2">
      <c r="A99" s="98">
        <v>43873.683356481481</v>
      </c>
      <c r="B99" s="99">
        <v>-0.12146195053379416</v>
      </c>
    </row>
    <row r="100" spans="1:2" x14ac:dyDescent="0.2">
      <c r="A100" s="98">
        <v>43873.688506944447</v>
      </c>
      <c r="B100" s="99">
        <v>-0.1258500816838265</v>
      </c>
    </row>
    <row r="101" spans="1:2" x14ac:dyDescent="0.2">
      <c r="A101" s="98">
        <v>43873.772685185184</v>
      </c>
      <c r="B101" s="99">
        <v>-0.12552714562516609</v>
      </c>
    </row>
    <row r="102" spans="1:2" x14ac:dyDescent="0.2">
      <c r="A102" s="98">
        <v>43874.656412037039</v>
      </c>
      <c r="B102" s="99">
        <v>-0.12524220204399517</v>
      </c>
    </row>
    <row r="103" spans="1:2" x14ac:dyDescent="0.2">
      <c r="A103" s="98">
        <v>43874.658136574071</v>
      </c>
      <c r="B103" s="99">
        <v>-0.1297158162683788</v>
      </c>
    </row>
    <row r="104" spans="1:2" x14ac:dyDescent="0.2">
      <c r="A104" s="98">
        <v>43874.661226851851</v>
      </c>
      <c r="B104" s="99">
        <v>-0.12926940465787762</v>
      </c>
    </row>
    <row r="105" spans="1:2" x14ac:dyDescent="0.2">
      <c r="A105" s="98">
        <v>43874.677129629628</v>
      </c>
      <c r="B105" s="99">
        <v>-0.12874700809239759</v>
      </c>
    </row>
    <row r="106" spans="1:2" x14ac:dyDescent="0.2">
      <c r="A106" s="98">
        <v>43874.678460648145</v>
      </c>
      <c r="B106" s="99">
        <v>-0.12842407203373729</v>
      </c>
    </row>
    <row r="107" spans="1:2" x14ac:dyDescent="0.2">
      <c r="A107" s="98">
        <v>43874.680451388886</v>
      </c>
      <c r="B107" s="99">
        <v>-0.13287869001937602</v>
      </c>
    </row>
    <row r="108" spans="1:2" x14ac:dyDescent="0.2">
      <c r="A108" s="98">
        <v>43874.682708333334</v>
      </c>
      <c r="B108" s="99">
        <v>-0.13252725960259859</v>
      </c>
    </row>
    <row r="109" spans="1:2" x14ac:dyDescent="0.2">
      <c r="A109" s="98">
        <v>43874.685381944444</v>
      </c>
      <c r="B109" s="99">
        <v>-0.13698187758823743</v>
      </c>
    </row>
    <row r="110" spans="1:2" x14ac:dyDescent="0.2">
      <c r="A110" s="98">
        <v>43874.699097222219</v>
      </c>
      <c r="B110" s="99">
        <v>-0.1365449640971087</v>
      </c>
    </row>
    <row r="111" spans="1:2" x14ac:dyDescent="0.2">
      <c r="A111" s="98">
        <v>43874.70171296296</v>
      </c>
      <c r="B111" s="99">
        <v>-0.14095209148588572</v>
      </c>
    </row>
    <row r="112" spans="1:2" x14ac:dyDescent="0.2">
      <c r="A112" s="98">
        <v>43874.702141203707</v>
      </c>
      <c r="B112" s="99">
        <v>-0.14534972075529029</v>
      </c>
    </row>
    <row r="113" spans="1:2" x14ac:dyDescent="0.2">
      <c r="A113" s="98">
        <v>43874.703449074077</v>
      </c>
      <c r="B113" s="99">
        <v>-0.14979484062155679</v>
      </c>
    </row>
    <row r="114" spans="1:2" x14ac:dyDescent="0.2">
      <c r="A114" s="98">
        <v>43874.707812499997</v>
      </c>
      <c r="B114" s="99">
        <v>-0.15418297177158913</v>
      </c>
    </row>
    <row r="115" spans="1:2" x14ac:dyDescent="0.2">
      <c r="A115" s="98">
        <v>43874.710520833331</v>
      </c>
      <c r="B115" s="99">
        <v>-0.15822917062421638</v>
      </c>
    </row>
    <row r="116" spans="1:2" x14ac:dyDescent="0.2">
      <c r="A116" s="98">
        <v>43874.724756944444</v>
      </c>
      <c r="B116" s="99">
        <v>-0.16267429049048276</v>
      </c>
    </row>
    <row r="117" spans="1:2" x14ac:dyDescent="0.2">
      <c r="A117" s="98">
        <v>43874.727743055555</v>
      </c>
      <c r="B117" s="99">
        <v>-0.1670624216405151</v>
      </c>
    </row>
    <row r="118" spans="1:2" x14ac:dyDescent="0.2">
      <c r="A118" s="98">
        <v>43874.73096064815</v>
      </c>
      <c r="B118" s="99">
        <v>-0.17152653774552629</v>
      </c>
    </row>
    <row r="119" spans="1:2" x14ac:dyDescent="0.2">
      <c r="A119" s="98">
        <v>43874.732835648145</v>
      </c>
      <c r="B119" s="99">
        <v>-0.17597165761179279</v>
      </c>
    </row>
    <row r="120" spans="1:2" x14ac:dyDescent="0.2">
      <c r="A120" s="98">
        <v>43874.836064814815</v>
      </c>
      <c r="B120" s="99">
        <v>-0.17570571026936654</v>
      </c>
    </row>
    <row r="121" spans="1:2" x14ac:dyDescent="0.2">
      <c r="A121" s="98">
        <v>43875.415486111109</v>
      </c>
      <c r="B121" s="99">
        <v>-0.17839367805174566</v>
      </c>
    </row>
    <row r="122" spans="1:2" x14ac:dyDescent="0.2">
      <c r="A122" s="98">
        <v>43875.417708333334</v>
      </c>
      <c r="B122" s="99">
        <v>-0.18280080544052257</v>
      </c>
    </row>
    <row r="123" spans="1:2" x14ac:dyDescent="0.2">
      <c r="A123" s="98">
        <v>43875.420416666668</v>
      </c>
      <c r="B123" s="99">
        <v>-0.18752137076858766</v>
      </c>
    </row>
    <row r="124" spans="1:2" x14ac:dyDescent="0.2">
      <c r="A124" s="98">
        <v>43875.422233796293</v>
      </c>
      <c r="B124" s="99">
        <v>-0.19190950191862</v>
      </c>
    </row>
    <row r="125" spans="1:2" x14ac:dyDescent="0.2">
      <c r="A125" s="98">
        <v>43875.446168981478</v>
      </c>
      <c r="B125" s="99">
        <v>-0.19630713118802467</v>
      </c>
    </row>
    <row r="126" spans="1:2" x14ac:dyDescent="0.2">
      <c r="A126" s="98">
        <v>43875.508657407408</v>
      </c>
      <c r="B126" s="99">
        <v>-0.20072375669617415</v>
      </c>
    </row>
    <row r="127" spans="1:2" x14ac:dyDescent="0.2">
      <c r="A127" s="98">
        <v>43875.651678240742</v>
      </c>
      <c r="B127" s="99">
        <v>-0.20511188784620626</v>
      </c>
    </row>
    <row r="128" spans="1:2" x14ac:dyDescent="0.2">
      <c r="A128" s="98">
        <v>43875.664398148147</v>
      </c>
      <c r="B128" s="99">
        <v>-0.2095190152349834</v>
      </c>
    </row>
    <row r="129" spans="1:2" x14ac:dyDescent="0.2">
      <c r="A129" s="98">
        <v>43875.67496527778</v>
      </c>
      <c r="B129" s="99">
        <v>-0.21392614262376031</v>
      </c>
    </row>
    <row r="130" spans="1:2" x14ac:dyDescent="0.2">
      <c r="A130" s="98">
        <v>43875.675451388888</v>
      </c>
      <c r="B130" s="99">
        <v>-0.21834276813190978</v>
      </c>
    </row>
    <row r="131" spans="1:2" x14ac:dyDescent="0.2">
      <c r="A131" s="98">
        <v>43875.676805555559</v>
      </c>
      <c r="B131" s="99">
        <v>-0.22275939364005914</v>
      </c>
    </row>
    <row r="132" spans="1:2" x14ac:dyDescent="0.2">
      <c r="A132" s="98">
        <v>43875.679502314815</v>
      </c>
      <c r="B132" s="99">
        <v>-0.22714752479009148</v>
      </c>
    </row>
    <row r="133" spans="1:2" x14ac:dyDescent="0.2">
      <c r="A133" s="98">
        <v>43875.703587962962</v>
      </c>
      <c r="B133" s="99">
        <v>-0.23164963337259215</v>
      </c>
    </row>
    <row r="134" spans="1:2" x14ac:dyDescent="0.2">
      <c r="A134" s="98">
        <v>43875.708703703705</v>
      </c>
      <c r="B134" s="99">
        <v>-0.2351829337791117</v>
      </c>
    </row>
    <row r="135" spans="1:2" x14ac:dyDescent="0.2">
      <c r="A135" s="98">
        <v>43875.712951388887</v>
      </c>
      <c r="B135" s="99">
        <v>-0.23176361080506047</v>
      </c>
    </row>
    <row r="136" spans="1:2" x14ac:dyDescent="0.2">
      <c r="A136" s="98">
        <v>43875.714594907404</v>
      </c>
      <c r="B136" s="99">
        <v>-0.2357433228220811</v>
      </c>
    </row>
    <row r="137" spans="1:2" x14ac:dyDescent="0.2">
      <c r="A137" s="98">
        <v>43875.742766203701</v>
      </c>
      <c r="B137" s="99">
        <v>-0.23297937008472314</v>
      </c>
    </row>
    <row r="138" spans="1:2" x14ac:dyDescent="0.2">
      <c r="A138" s="98">
        <v>43875.745405092595</v>
      </c>
      <c r="B138" s="99">
        <v>-0.23580031153831527</v>
      </c>
    </row>
    <row r="139" spans="1:2" x14ac:dyDescent="0.2">
      <c r="A139" s="98">
        <v>43875.754548611112</v>
      </c>
      <c r="B139" s="99">
        <v>-0.24006496713650693</v>
      </c>
    </row>
    <row r="140" spans="1:2" x14ac:dyDescent="0.2">
      <c r="A140" s="98">
        <v>43875.760740740741</v>
      </c>
      <c r="B140" s="99">
        <v>-0.24412066410850641</v>
      </c>
    </row>
    <row r="141" spans="1:2" x14ac:dyDescent="0.2">
      <c r="A141" s="98">
        <v>43875.774861111109</v>
      </c>
      <c r="B141" s="99">
        <v>-0.24341780327495144</v>
      </c>
    </row>
    <row r="142" spans="1:2" x14ac:dyDescent="0.2">
      <c r="A142" s="98">
        <v>43875.780590277776</v>
      </c>
      <c r="B142" s="99">
        <v>-0.24749249648569582</v>
      </c>
    </row>
    <row r="143" spans="1:2" x14ac:dyDescent="0.2">
      <c r="A143" s="98">
        <v>43875.783750000002</v>
      </c>
      <c r="B143" s="99">
        <v>-0.2518711295163556</v>
      </c>
    </row>
    <row r="144" spans="1:2" x14ac:dyDescent="0.2">
      <c r="A144" s="98">
        <v>43875.787187499998</v>
      </c>
      <c r="B144" s="99">
        <v>-0.25587933589149336</v>
      </c>
    </row>
    <row r="145" spans="1:2" x14ac:dyDescent="0.2">
      <c r="A145" s="98">
        <v>43875.829004629632</v>
      </c>
      <c r="B145" s="99">
        <v>-0.25987804414725879</v>
      </c>
    </row>
    <row r="146" spans="1:2" x14ac:dyDescent="0.2">
      <c r="A146" s="98">
        <v>43875.831331018519</v>
      </c>
      <c r="B146" s="99">
        <v>-0.26388625052239656</v>
      </c>
    </row>
    <row r="147" spans="1:2" x14ac:dyDescent="0.2">
      <c r="A147" s="98">
        <v>43878.349826388891</v>
      </c>
      <c r="B147" s="99">
        <v>-0.22414611906842441</v>
      </c>
    </row>
    <row r="148" spans="1:2" x14ac:dyDescent="0.2">
      <c r="A148" s="98">
        <v>43878.485243055555</v>
      </c>
      <c r="B148" s="99">
        <v>-0.22368071121917854</v>
      </c>
    </row>
    <row r="149" spans="1:2" x14ac:dyDescent="0.2">
      <c r="A149" s="98">
        <v>43879.674062500002</v>
      </c>
      <c r="B149" s="99">
        <v>-0.2234147638767523</v>
      </c>
    </row>
    <row r="150" spans="1:2" x14ac:dyDescent="0.2">
      <c r="A150" s="98">
        <v>43879.692604166667</v>
      </c>
      <c r="B150" s="99">
        <v>-0.22379468865164687</v>
      </c>
    </row>
    <row r="151" spans="1:2" x14ac:dyDescent="0.2">
      <c r="A151" s="98">
        <v>43879.697291666664</v>
      </c>
      <c r="B151" s="99">
        <v>-0.22379468865164687</v>
      </c>
    </row>
    <row r="152" spans="1:2" x14ac:dyDescent="0.2">
      <c r="A152" s="98">
        <v>43879.728090277778</v>
      </c>
      <c r="B152" s="99">
        <v>-0.2278598837430188</v>
      </c>
    </row>
    <row r="153" spans="1:2" x14ac:dyDescent="0.2">
      <c r="A153" s="98">
        <v>43879.728796296295</v>
      </c>
      <c r="B153" s="99">
        <v>-0.23186809011815657</v>
      </c>
    </row>
    <row r="154" spans="1:2" x14ac:dyDescent="0.2">
      <c r="A154" s="98">
        <v>43879.743333333332</v>
      </c>
      <c r="B154" s="99">
        <v>-0.23161164089510267</v>
      </c>
    </row>
    <row r="155" spans="1:2" x14ac:dyDescent="0.2">
      <c r="A155" s="98">
        <v>43879.747604166667</v>
      </c>
      <c r="B155" s="99">
        <v>-0.2355913529121233</v>
      </c>
    </row>
    <row r="156" spans="1:2" x14ac:dyDescent="0.2">
      <c r="A156" s="98">
        <v>43879.751574074071</v>
      </c>
      <c r="B156" s="99">
        <v>-0.23844078872383256</v>
      </c>
    </row>
    <row r="157" spans="1:2" x14ac:dyDescent="0.2">
      <c r="A157" s="98">
        <v>43879.796516203707</v>
      </c>
      <c r="B157" s="99">
        <v>-0.21002241556171874</v>
      </c>
    </row>
    <row r="158" spans="1:2" x14ac:dyDescent="0.2">
      <c r="A158" s="98">
        <v>43880.999988425923</v>
      </c>
      <c r="B158" s="99">
        <v>0</v>
      </c>
    </row>
    <row r="159" spans="1:2" x14ac:dyDescent="0.2">
      <c r="A159" s="98">
        <v>43881.650787037041</v>
      </c>
      <c r="B159" s="99">
        <v>0</v>
      </c>
    </row>
    <row r="160" spans="1:2" x14ac:dyDescent="0.2">
      <c r="A160" s="98">
        <v>43881.760416666664</v>
      </c>
      <c r="B160" s="99">
        <v>0</v>
      </c>
    </row>
    <row r="161" spans="1:2" x14ac:dyDescent="0.2">
      <c r="A161" s="98">
        <v>43882.36314814815</v>
      </c>
      <c r="B161" s="99">
        <v>0</v>
      </c>
    </row>
    <row r="162" spans="1:2" x14ac:dyDescent="0.2">
      <c r="A162" s="98" t="s">
        <v>45</v>
      </c>
      <c r="B162" s="99">
        <v>-0.26388625052239656</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72B935-E28D-461D-9493-99264299EAE4}">
  <sheetPr codeName="Feuil2"/>
  <dimension ref="A1:BQ162"/>
  <sheetViews>
    <sheetView topLeftCell="A121" zoomScaleNormal="100" workbookViewId="0">
      <selection activeCell="AB5" sqref="AB5"/>
    </sheetView>
  </sheetViews>
  <sheetFormatPr baseColWidth="10" defaultRowHeight="12" x14ac:dyDescent="0.2"/>
  <cols>
    <col min="1" max="1" width="22.75" style="39" customWidth="1"/>
    <col min="2" max="2" width="10.625" style="39" bestFit="1" customWidth="1"/>
    <col min="3" max="3" width="10.75" style="41" bestFit="1" customWidth="1"/>
    <col min="4" max="4" width="13.625" style="41" bestFit="1" customWidth="1"/>
    <col min="5" max="5" width="10.25" style="41" bestFit="1" customWidth="1"/>
    <col min="6" max="6" width="13.625" style="39" bestFit="1" customWidth="1"/>
    <col min="7" max="7" width="8" style="39" bestFit="1" customWidth="1"/>
    <col min="8" max="8" width="8.25" style="39" bestFit="1" customWidth="1"/>
    <col min="9" max="9" width="18.25" style="39" bestFit="1" customWidth="1"/>
    <col min="10" max="10" width="11.5" style="39" bestFit="1" customWidth="1"/>
    <col min="11" max="11" width="13.625" style="39" customWidth="1"/>
    <col min="12" max="12" width="10.5" style="39" customWidth="1"/>
    <col min="13" max="14" width="9.875" style="42" customWidth="1"/>
    <col min="15" max="15" width="14.75" style="42" customWidth="1"/>
    <col min="16" max="16" width="15" style="42" customWidth="1"/>
    <col min="17" max="17" width="9.375" style="53" customWidth="1"/>
    <col min="18" max="18" width="14.625" style="44" customWidth="1"/>
    <col min="19" max="19" width="7.875" style="62" customWidth="1"/>
    <col min="20" max="20" width="9.125" style="64" customWidth="1"/>
    <col min="21" max="21" width="21.25" style="69" customWidth="1"/>
    <col min="22" max="22" width="18.25" style="69" customWidth="1"/>
    <col min="23" max="23" width="12.625" style="43" customWidth="1"/>
    <col min="24" max="24" width="12.875" style="43" customWidth="1"/>
    <col min="25" max="25" width="15.625" style="44" customWidth="1"/>
    <col min="26" max="26" width="10.25" style="44" customWidth="1"/>
    <col min="27" max="27" width="18.25" style="42" customWidth="1"/>
    <col min="28" max="28" width="18.5" style="45" customWidth="1"/>
    <col min="29" max="29" width="21.875" style="45" customWidth="1"/>
    <col min="30" max="30" width="22.375" style="45" customWidth="1"/>
    <col min="31" max="31" width="27.875" style="45" customWidth="1"/>
    <col min="32" max="32" width="20.375" style="54" customWidth="1"/>
    <col min="33" max="33" width="20.375" style="55" customWidth="1"/>
    <col min="34" max="34" width="25.875" style="55" customWidth="1"/>
    <col min="35" max="35" width="27.875" style="55" customWidth="1"/>
    <col min="36" max="36" width="11.375" style="46" customWidth="1"/>
    <col min="37" max="37" width="20.625" style="46" bestFit="1" customWidth="1"/>
    <col min="38" max="38" width="18.5" style="46" customWidth="1"/>
    <col min="39" max="39" width="16.875" style="46" customWidth="1"/>
    <col min="40" max="40" width="12.5" style="46" customWidth="1"/>
    <col min="41" max="41" width="9.25" style="47" customWidth="1"/>
    <col min="42" max="42" width="15.125" style="47" customWidth="1"/>
    <col min="43" max="43" width="15.75" style="47" customWidth="1"/>
    <col min="44" max="44" width="19" style="47" customWidth="1"/>
    <col min="45" max="45" width="11.75" style="74" customWidth="1"/>
    <col min="46" max="46" width="14.75" style="74" customWidth="1"/>
    <col min="47" max="47" width="12.75" style="41" customWidth="1"/>
    <col min="48" max="49" width="14.25" style="41" customWidth="1"/>
    <col min="50" max="50" width="12.25" style="41" customWidth="1"/>
    <col min="51" max="51" width="9.875" style="41" customWidth="1"/>
    <col min="52" max="53" width="9" style="41" customWidth="1"/>
    <col min="54" max="54" width="8.375" style="41" bestFit="1" customWidth="1"/>
    <col min="55" max="55" width="19.125" style="41" bestFit="1" customWidth="1"/>
    <col min="56" max="56" width="12" style="92" bestFit="1" customWidth="1"/>
    <col min="57" max="57" width="9.25" style="90" bestFit="1" customWidth="1"/>
    <col min="58" max="58" width="14.125" style="41" bestFit="1" customWidth="1"/>
    <col min="59" max="59" width="15.875" style="41" bestFit="1" customWidth="1"/>
    <col min="60" max="60" width="10.5" style="41" bestFit="1" customWidth="1"/>
    <col min="61" max="61" width="10.375" style="41" bestFit="1" customWidth="1"/>
    <col min="62" max="62" width="10.25" style="41" bestFit="1" customWidth="1"/>
    <col min="63" max="63" width="14.5" style="41" bestFit="1" customWidth="1"/>
    <col min="64" max="64" width="14.125" style="41" bestFit="1" customWidth="1"/>
    <col min="65" max="65" width="25.875" style="48" customWidth="1"/>
    <col min="66" max="66" width="22.375" style="48" customWidth="1"/>
    <col min="67" max="67" width="28.875" style="48" customWidth="1"/>
    <col min="68" max="68" width="26.625" style="48" customWidth="1"/>
    <col min="69" max="69" width="15.875" style="39" bestFit="1" customWidth="1"/>
    <col min="70" max="16384" width="11" style="39"/>
  </cols>
  <sheetData>
    <row r="1" spans="1:69" s="24" customFormat="1" x14ac:dyDescent="0.2">
      <c r="A1" s="49" t="s">
        <v>11</v>
      </c>
      <c r="B1" s="51">
        <v>1000</v>
      </c>
      <c r="C1" s="49" t="s">
        <v>77</v>
      </c>
      <c r="D1" s="25">
        <f>EOMONTH(A4,-1)+1</f>
        <v>43862</v>
      </c>
      <c r="E1" s="49" t="s">
        <v>78</v>
      </c>
      <c r="F1" s="25">
        <f>IFERROR(LOOKUP(9^9,Table_BDD[Horodatage ouverture]),"")</f>
        <v>43882.357361111113</v>
      </c>
      <c r="I1" s="49" t="s">
        <v>79</v>
      </c>
      <c r="J1" s="50">
        <f>DATEDIF(D1,F1,"YM")</f>
        <v>0</v>
      </c>
      <c r="M1" s="26"/>
      <c r="N1" s="26"/>
      <c r="O1" s="26"/>
      <c r="P1" s="26"/>
      <c r="Q1" s="102"/>
      <c r="R1" s="102"/>
      <c r="S1" s="102"/>
      <c r="T1" s="102"/>
      <c r="U1" s="102"/>
      <c r="V1" s="102"/>
      <c r="W1" s="102"/>
      <c r="X1" s="102"/>
      <c r="Y1" s="102"/>
      <c r="Z1" s="102"/>
      <c r="AA1" s="102"/>
      <c r="AB1" s="102"/>
      <c r="AC1" s="102"/>
      <c r="AD1" s="102"/>
      <c r="AE1" s="102"/>
      <c r="AF1" s="102"/>
      <c r="AG1" s="102"/>
      <c r="AH1" s="102"/>
      <c r="AI1" s="102"/>
      <c r="AJ1" s="102"/>
      <c r="AK1" s="102"/>
      <c r="AL1" s="102"/>
      <c r="AM1" s="102"/>
      <c r="AN1" s="102"/>
      <c r="AO1" s="102"/>
      <c r="AP1" s="102"/>
      <c r="AQ1" s="102"/>
      <c r="AR1" s="102"/>
      <c r="AS1" s="102"/>
      <c r="AT1" s="102"/>
      <c r="AU1" s="102"/>
      <c r="AV1" s="102"/>
      <c r="AW1" s="102"/>
      <c r="AX1" s="102"/>
      <c r="AY1" s="102"/>
      <c r="AZ1" s="102"/>
      <c r="BA1" s="102"/>
      <c r="BB1" s="102"/>
      <c r="BC1" s="102"/>
      <c r="BD1" s="102"/>
      <c r="BE1" s="102"/>
      <c r="BF1" s="102"/>
      <c r="BG1" s="102"/>
      <c r="BH1" s="102"/>
      <c r="BI1" s="102"/>
      <c r="BJ1" s="102"/>
      <c r="BK1" s="102"/>
      <c r="BL1" s="102"/>
      <c r="BM1" s="102"/>
      <c r="BN1" s="102"/>
      <c r="BO1" s="102"/>
      <c r="BP1" s="102"/>
    </row>
    <row r="2" spans="1:69" s="60" customFormat="1" x14ac:dyDescent="0.2">
      <c r="A2" s="60">
        <f>COLUMN()</f>
        <v>1</v>
      </c>
      <c r="B2" s="60">
        <f>COLUMN()</f>
        <v>2</v>
      </c>
      <c r="C2" s="60">
        <f>COLUMN()</f>
        <v>3</v>
      </c>
      <c r="D2" s="60">
        <f>COLUMN()</f>
        <v>4</v>
      </c>
      <c r="E2" s="60">
        <f>COLUMN()</f>
        <v>5</v>
      </c>
      <c r="F2" s="60">
        <f>COLUMN()</f>
        <v>6</v>
      </c>
      <c r="G2" s="60">
        <f>COLUMN()</f>
        <v>7</v>
      </c>
      <c r="H2" s="60">
        <f>COLUMN()</f>
        <v>8</v>
      </c>
      <c r="I2" s="60">
        <f>COLUMN()</f>
        <v>9</v>
      </c>
      <c r="J2" s="60">
        <f>COLUMN()</f>
        <v>10</v>
      </c>
      <c r="K2" s="60">
        <f>COLUMN()</f>
        <v>11</v>
      </c>
      <c r="L2" s="60">
        <f>COLUMN()</f>
        <v>12</v>
      </c>
      <c r="M2" s="60">
        <f>COLUMN()</f>
        <v>13</v>
      </c>
      <c r="N2" s="60">
        <f>COLUMN()</f>
        <v>14</v>
      </c>
      <c r="O2" s="60">
        <f>COLUMN()</f>
        <v>15</v>
      </c>
      <c r="P2" s="60">
        <f>COLUMN()</f>
        <v>16</v>
      </c>
      <c r="Q2" s="60">
        <f>COLUMN()</f>
        <v>17</v>
      </c>
      <c r="R2" s="60">
        <f>COLUMN()</f>
        <v>18</v>
      </c>
      <c r="S2" s="60">
        <f>COLUMN()</f>
        <v>19</v>
      </c>
      <c r="T2" s="60">
        <f>COLUMN()</f>
        <v>20</v>
      </c>
      <c r="U2" s="60">
        <f>COLUMN()</f>
        <v>21</v>
      </c>
      <c r="V2" s="60">
        <f>COLUMN()</f>
        <v>22</v>
      </c>
      <c r="W2" s="60">
        <f>COLUMN()</f>
        <v>23</v>
      </c>
      <c r="X2" s="60">
        <f>COLUMN()</f>
        <v>24</v>
      </c>
      <c r="Y2" s="60">
        <f>COLUMN()</f>
        <v>25</v>
      </c>
      <c r="Z2" s="60">
        <f>COLUMN()</f>
        <v>26</v>
      </c>
      <c r="AA2" s="60">
        <f>COLUMN()</f>
        <v>27</v>
      </c>
      <c r="AB2" s="60">
        <f>COLUMN()</f>
        <v>28</v>
      </c>
      <c r="AC2" s="60">
        <f>COLUMN()</f>
        <v>29</v>
      </c>
      <c r="AD2" s="60">
        <f>COLUMN()</f>
        <v>30</v>
      </c>
      <c r="AE2" s="60">
        <f>COLUMN()</f>
        <v>31</v>
      </c>
      <c r="AF2" s="60">
        <f>COLUMN()</f>
        <v>32</v>
      </c>
      <c r="AG2" s="60">
        <f>COLUMN()</f>
        <v>33</v>
      </c>
      <c r="AH2" s="60">
        <f>COLUMN()</f>
        <v>34</v>
      </c>
      <c r="AI2" s="60">
        <f>COLUMN()</f>
        <v>35</v>
      </c>
      <c r="AJ2" s="60">
        <f>COLUMN()</f>
        <v>36</v>
      </c>
      <c r="AK2" s="60">
        <f>COLUMN()</f>
        <v>37</v>
      </c>
      <c r="AL2" s="60">
        <f>COLUMN()</f>
        <v>38</v>
      </c>
      <c r="AM2" s="60">
        <f>COLUMN()</f>
        <v>39</v>
      </c>
      <c r="AN2" s="60">
        <f>COLUMN()</f>
        <v>40</v>
      </c>
      <c r="AO2" s="60">
        <f>COLUMN()</f>
        <v>41</v>
      </c>
      <c r="AP2" s="60">
        <f>COLUMN()</f>
        <v>42</v>
      </c>
      <c r="AQ2" s="60">
        <f>COLUMN()</f>
        <v>43</v>
      </c>
      <c r="AR2" s="60">
        <f>COLUMN()</f>
        <v>44</v>
      </c>
      <c r="AS2" s="60">
        <f>COLUMN()</f>
        <v>45</v>
      </c>
      <c r="AT2" s="60">
        <f>COLUMN()</f>
        <v>46</v>
      </c>
      <c r="AU2" s="60">
        <f>COLUMN()</f>
        <v>47</v>
      </c>
      <c r="AV2" s="60">
        <f>COLUMN()</f>
        <v>48</v>
      </c>
      <c r="AW2" s="60">
        <f>COLUMN()</f>
        <v>49</v>
      </c>
      <c r="AX2" s="60">
        <f>COLUMN()</f>
        <v>50</v>
      </c>
      <c r="AY2" s="60">
        <f>COLUMN()</f>
        <v>51</v>
      </c>
      <c r="AZ2" s="60">
        <f>COLUMN()</f>
        <v>52</v>
      </c>
      <c r="BB2" s="60">
        <f>COLUMN()</f>
        <v>54</v>
      </c>
      <c r="BC2" s="60">
        <f>COLUMN()</f>
        <v>55</v>
      </c>
      <c r="BD2" s="60">
        <f>COLUMN()</f>
        <v>56</v>
      </c>
      <c r="BE2" s="60">
        <f>COLUMN()</f>
        <v>57</v>
      </c>
      <c r="BF2" s="60">
        <f>COLUMN()</f>
        <v>58</v>
      </c>
      <c r="BG2" s="60">
        <f>COLUMN()</f>
        <v>59</v>
      </c>
      <c r="BH2" s="60">
        <f>COLUMN()</f>
        <v>60</v>
      </c>
      <c r="BI2" s="60">
        <f>COLUMN()</f>
        <v>61</v>
      </c>
      <c r="BJ2" s="60">
        <f>COLUMN()</f>
        <v>62</v>
      </c>
      <c r="BK2" s="60">
        <f>COLUMN()</f>
        <v>63</v>
      </c>
      <c r="BL2" s="60">
        <f>COLUMN()</f>
        <v>64</v>
      </c>
      <c r="BM2" s="60">
        <f>COLUMN()</f>
        <v>65</v>
      </c>
      <c r="BN2" s="60">
        <f>COLUMN()</f>
        <v>66</v>
      </c>
      <c r="BO2" s="60">
        <f>COLUMN()</f>
        <v>67</v>
      </c>
      <c r="BP2" s="60">
        <f>COLUMN()</f>
        <v>68</v>
      </c>
    </row>
    <row r="3" spans="1:69" s="27" customFormat="1" ht="12.75" thickBot="1" x14ac:dyDescent="0.25">
      <c r="A3" s="128" t="s">
        <v>42</v>
      </c>
      <c r="B3" s="128" t="s">
        <v>0</v>
      </c>
      <c r="C3" s="128" t="s">
        <v>1</v>
      </c>
      <c r="D3" s="128" t="s">
        <v>2</v>
      </c>
      <c r="E3" s="128" t="s">
        <v>3</v>
      </c>
      <c r="F3" s="128" t="s">
        <v>24</v>
      </c>
      <c r="G3" s="128" t="s">
        <v>4</v>
      </c>
      <c r="H3" s="128" t="s">
        <v>5</v>
      </c>
      <c r="I3" s="128" t="s">
        <v>43</v>
      </c>
      <c r="J3" s="128" t="s">
        <v>25</v>
      </c>
      <c r="K3" s="128" t="s">
        <v>6</v>
      </c>
      <c r="L3" s="128" t="s">
        <v>7</v>
      </c>
      <c r="M3" s="128" t="s">
        <v>18</v>
      </c>
      <c r="N3" s="129" t="s">
        <v>243</v>
      </c>
      <c r="O3" s="130" t="s">
        <v>183</v>
      </c>
      <c r="P3" s="130" t="s">
        <v>184</v>
      </c>
      <c r="Q3" s="131" t="s">
        <v>81</v>
      </c>
      <c r="R3" s="129" t="s">
        <v>106</v>
      </c>
      <c r="S3" s="132" t="s">
        <v>107</v>
      </c>
      <c r="T3" s="133" t="s">
        <v>108</v>
      </c>
      <c r="U3" s="129" t="s">
        <v>118</v>
      </c>
      <c r="V3" s="129" t="s">
        <v>172</v>
      </c>
      <c r="W3" s="134" t="s">
        <v>39</v>
      </c>
      <c r="X3" s="134" t="s">
        <v>38</v>
      </c>
      <c r="Y3" s="129" t="s">
        <v>40</v>
      </c>
      <c r="Z3" s="129" t="s">
        <v>41</v>
      </c>
      <c r="AA3" s="130" t="s">
        <v>34</v>
      </c>
      <c r="AB3" s="135" t="s">
        <v>35</v>
      </c>
      <c r="AC3" s="135" t="s">
        <v>83</v>
      </c>
      <c r="AD3" s="135" t="s">
        <v>84</v>
      </c>
      <c r="AE3" s="135" t="s">
        <v>85</v>
      </c>
      <c r="AF3" s="136" t="s">
        <v>82</v>
      </c>
      <c r="AG3" s="137" t="s">
        <v>80</v>
      </c>
      <c r="AH3" s="137" t="s">
        <v>86</v>
      </c>
      <c r="AI3" s="137" t="s">
        <v>98</v>
      </c>
      <c r="AJ3" s="138" t="s">
        <v>36</v>
      </c>
      <c r="AK3" s="138" t="s">
        <v>254</v>
      </c>
      <c r="AL3" s="138" t="s">
        <v>186</v>
      </c>
      <c r="AM3" s="138" t="s">
        <v>187</v>
      </c>
      <c r="AN3" s="138" t="s">
        <v>13</v>
      </c>
      <c r="AO3" s="139" t="s">
        <v>14</v>
      </c>
      <c r="AP3" s="139" t="s">
        <v>137</v>
      </c>
      <c r="AQ3" s="139" t="s">
        <v>138</v>
      </c>
      <c r="AR3" s="139" t="s">
        <v>49</v>
      </c>
      <c r="AS3" s="140" t="s">
        <v>16</v>
      </c>
      <c r="AT3" s="140" t="s">
        <v>17</v>
      </c>
      <c r="AU3" s="128" t="s">
        <v>15</v>
      </c>
      <c r="AV3" s="128" t="s">
        <v>19</v>
      </c>
      <c r="AW3" s="128" t="s">
        <v>198</v>
      </c>
      <c r="AX3" s="128" t="s">
        <v>22</v>
      </c>
      <c r="AY3" s="128" t="s">
        <v>23</v>
      </c>
      <c r="AZ3" s="128" t="s">
        <v>12</v>
      </c>
      <c r="BA3" s="128" t="s">
        <v>220</v>
      </c>
      <c r="BB3" s="128" t="s">
        <v>219</v>
      </c>
      <c r="BC3" s="128" t="s">
        <v>26</v>
      </c>
      <c r="BD3" s="142" t="s">
        <v>169</v>
      </c>
      <c r="BE3" s="143" t="s">
        <v>170</v>
      </c>
      <c r="BF3" s="141" t="s">
        <v>27</v>
      </c>
      <c r="BG3" s="141" t="s">
        <v>37</v>
      </c>
      <c r="BH3" s="141" t="s">
        <v>28</v>
      </c>
      <c r="BI3" s="141" t="s">
        <v>51</v>
      </c>
      <c r="BJ3" s="141" t="s">
        <v>52</v>
      </c>
      <c r="BK3" s="128" t="s">
        <v>222</v>
      </c>
      <c r="BL3" s="128" t="s">
        <v>185</v>
      </c>
      <c r="BM3" s="128" t="s">
        <v>32</v>
      </c>
      <c r="BN3" s="128" t="s">
        <v>233</v>
      </c>
      <c r="BO3" s="128" t="s">
        <v>223</v>
      </c>
      <c r="BP3" s="128" t="s">
        <v>33</v>
      </c>
      <c r="BQ3" s="128" t="s">
        <v>206</v>
      </c>
    </row>
    <row r="4" spans="1:69" x14ac:dyDescent="0.2">
      <c r="A4" s="28">
        <v>43864.403865740744</v>
      </c>
      <c r="B4" s="29">
        <v>259349734</v>
      </c>
      <c r="C4" s="30" t="s">
        <v>8</v>
      </c>
      <c r="D4" s="30" t="s">
        <v>10</v>
      </c>
      <c r="E4" s="30">
        <v>0.5</v>
      </c>
      <c r="F4" s="31">
        <v>28372.38</v>
      </c>
      <c r="G4" s="31">
        <v>28370.880000000001</v>
      </c>
      <c r="H4" s="31">
        <v>28232.38</v>
      </c>
      <c r="I4" s="28">
        <v>43864.404861111114</v>
      </c>
      <c r="J4" s="31">
        <v>28371.46</v>
      </c>
      <c r="K4" s="31">
        <v>0</v>
      </c>
      <c r="L4" s="31">
        <v>0</v>
      </c>
      <c r="M4" s="32">
        <v>0.42</v>
      </c>
      <c r="N4" s="148">
        <f>IF(Table_BDD[[#This Row],[Position]]="","",ROW()-3)</f>
        <v>1</v>
      </c>
      <c r="O4" s="32">
        <f>SUM($L$4:M4)</f>
        <v>0.42</v>
      </c>
      <c r="P4" s="32">
        <f>Table_BDD[[#This Row],[Equité avant trade]]+Table_BDD[[#This Row],[Profit]]+Table_BDD[[#This Row],[Echange]]</f>
        <v>1000.42</v>
      </c>
      <c r="Q4" s="52">
        <f>INT(Table_BDD[[#This Row],[Horodatage cloture]])</f>
        <v>43864</v>
      </c>
      <c r="R4" s="34">
        <f>WEEKNUM(Table_BDD[[#This Row],[Horodatage cloture]],2)</f>
        <v>6</v>
      </c>
      <c r="S4" s="61">
        <f>WEEKDAY(Table_BDD[[#This Row],[Horodatage cloture]])</f>
        <v>2</v>
      </c>
      <c r="T4" s="63">
        <f>HOUR(Table_BDD[[#This Row],[Horodatage cloture]])</f>
        <v>9</v>
      </c>
      <c r="U4" s="68">
        <f>IF(Table_BDD[[#This Row],[Position]]="","",IF(Table_BDD[[#This Row],[Valeur début de journée unique]]&lt;&gt;0,1,0))</f>
        <v>1</v>
      </c>
      <c r="V4" s="68">
        <f>IF(Table_BDD[[#This Row],[Nb de séance de trading]]=1,COUNTIF(Table_BDD[Date],Table_BDD[[#This Row],[Date]]),"")</f>
        <v>5</v>
      </c>
      <c r="W4" s="33">
        <f>IF(Table_BDD[[#This Row],[Position]]="","",IF(Table_BDD[[#This Row],[Type]]="buy",ROUND(Table_BDD[[#This Row],[Lvl Entrée]]-Table_BDD[[#This Row],[S / L]],1),ROUND(Table_BDD[[#This Row],[S / L]]-Table_BDD[[#This Row],[Lvl Entrée]],1)))</f>
        <v>-1.5</v>
      </c>
      <c r="X4" s="33">
        <f>IF(Table_BDD[[#This Row],[Position]]="","",IF(Table_BDD[[#This Row],[T / P]]=0,200,IF(Table_BDD[[#This Row],[Type]]="buy",ROUND(Table_BDD[[#This Row],[T / P]]-Table_BDD[[#This Row],[Lvl Entrée]],1),ROUND(Table_BDD[[#This Row],[Lvl Entrée]]-Table_BDD[[#This Row],[T / P]],1))))</f>
        <v>140</v>
      </c>
      <c r="Y4" s="34">
        <f>IF(Table_BDD[[#This Row],[Position]]="","",IF(Table_BDD[[#This Row],[Ecart du SL]]&gt;0,ROUND(ABS(Table_BDD[[#This Row],[Ecart du TP]])/ABS(Table_BDD[[#This Row],[Ecart du SL]]),1),ROUND(ABS(Table_BDD[[#This Row],[Ecart du TP]])/10,1)))</f>
        <v>14</v>
      </c>
      <c r="Z4" s="34">
        <f>IF(Table_BDD[[#This Row],[Position]]="","",IF(Table_BDD[[#This Row],[Ecart du SL]]&lt;0,IF(AND(Table_BDD[[#This Row],[Profit]]&gt;0,Table_BDD[[#This Row],[Type]]="sell"),ROUND((Table_BDD[[#This Row],[Lvl Entrée]]-Table_BDD[[#This Row],[Lvl Sortie]])/(10),1),IF(AND(Table_BDD[[#This Row],[Profit]]&gt;0,Table_BDD[[#This Row],[Type]]="buy"),ROUND((Table_BDD[[#This Row],[Lvl Sortie]]-Table_BDD[[#This Row],[Lvl Entrée]])/(10),1),)),IF(AND(Table_BDD[[#This Row],[Profit]]&gt;0,Table_BDD[[#This Row],[Type]]="sell"),ROUND((Table_BDD[[#This Row],[Lvl Entrée]]-Table_BDD[[#This Row],[Lvl Sortie]])/(Table_BDD[[#This Row],[S / L]]-Table_BDD[[#This Row],[Lvl Entrée]]),1),IF(AND(Table_BDD[[#This Row],[Profit]]&gt;0,Table_BDD[[#This Row],[Type]]="buy"),ROUND((Table_BDD[[#This Row],[Lvl Sortie]]-Table_BDD[[#This Row],[Lvl Entrée]])/(Table_BDD[[#This Row],[Lvl Entrée]]-Table_BDD[[#This Row],[S / L]]),1),ROUND(Table_BDD[[#This Row],[Points]]/10,1)))))</f>
        <v>0.1</v>
      </c>
      <c r="AA4" s="32">
        <f>IF(Table_BDD[[#This Row],[Position]]="",AA3,Table_BDD[[#This Row],[Equité après trade]]-Table_BDD[[#This Row],[Profit]]-Table_BDD[[#This Row],[Echange]])</f>
        <v>1000</v>
      </c>
      <c r="AB4" s="149">
        <f>$B$1+SUM($L$4:M4)</f>
        <v>1000.42</v>
      </c>
      <c r="AC4" s="150">
        <f>IF(Table_BDD[[#This Row],[Position]]="","",_xlfn.MINIFS(Table_BDD[Horodatage ouverture],Table_BDD[Date],Table_BDD[Date]))</f>
        <v>43864.403865740744</v>
      </c>
      <c r="AD4" s="149">
        <f>VLOOKUP(_xlfn.MINIFS(Table_BDD[Horodatage ouverture],Table_BDD[Date],Table_BDD[Date]),Table_BDD[[Horodatage ouverture]:[Heure derniere valeur]],AA$2)</f>
        <v>1000</v>
      </c>
      <c r="AE4" s="149">
        <f>IF(VLOOKUP(_xlfn.MINIFS(Table_BDD[Horodatage ouverture],Table_BDD[Date],Table_BDD[Date]),Table_BDD[[Horodatage ouverture]:[Heure derniere valeur]],AA$2)=Table_BDD[[#This Row],[Equité avant trade]],VLOOKUP(_xlfn.MINIFS(Table_BDD[Horodatage ouverture],Table_BDD[Date],Table_BDD[Date]),Table_BDD[[Horodatage ouverture]:[Heure derniere valeur]],AA$2),0)</f>
        <v>1000</v>
      </c>
      <c r="AF4" s="150">
        <f>IF(Table_BDD[[#This Row],[Position]]="","",_xlfn.MAXIFS(Table_BDD[Horodatage ouverture],Table_BDD[Date],Table_BDD[Date]))</f>
        <v>43864.672789351855</v>
      </c>
      <c r="AG4" s="32">
        <f>VLOOKUP(_xlfn.MAXIFS(Table_BDD[Horodatage cloture],Table_BDD[Date],Table_BDD[Date]),Table_BDD[[Horodatage ouverture]:[Heure derniere valeur]],AB$2)</f>
        <v>1010.03</v>
      </c>
      <c r="AH4" s="32">
        <f>IF(VLOOKUP(_xlfn.MAXIFS(Table_BDD[Horodatage cloture],Table_BDD[Date],Table_BDD[Date]),Table_BDD[[Horodatage ouverture]:[Heure derniere valeur]],AB$2)=Table_BDD[[#This Row],[Equité après trade]],VLOOKUP(_xlfn.MAXIFS(Table_BDD[Horodatage cloture],Table_BDD[Date],Table_BDD[Date]),Table_BDD[[Horodatage ouverture]:[Heure derniere valeur]],AB$2),0)</f>
        <v>0</v>
      </c>
      <c r="AI4" s="32" t="e">
        <f>IF(Table_BDD[[#This Row],[Valeur fin de journée unique]]=0,#N/A,Table_BDD[[#This Row],[Valeur fin de journée unique]])</f>
        <v>#N/A</v>
      </c>
      <c r="AJ4" s="35">
        <f>IF(Table_BDD[[#This Row],[Position]]="","",(Table_BDD[[#This Row],[Equité après trade]]-Table_BDD[[#This Row],[Equité avant trade]])/Table_BDD[[#This Row],[Equité avant trade]])</f>
        <v>4.1999999999995909E-4</v>
      </c>
      <c r="AK4" s="35">
        <f>IFERROR(((INDEX(Table_BDD[[Trade n°]:[Valeur fin de journée unique]],Table_BDD[[#This Row],[Nb de trade du jour]]+Table_BDD[[#This Row],[Trade n°]]-1,21))-Table_BDD[[#This Row],[Valeur début de journée unique]])/Table_BDD[[#This Row],[Valeur début de journée unique]],"")</f>
        <v>1.0029999999999973E-2</v>
      </c>
      <c r="AL4" s="32">
        <f>IF(Table_BDD[[#This Row],[Position]]="","",MAX(Table_BDD[[#This Row],[Cumul équité]],AL3))</f>
        <v>1000.42</v>
      </c>
      <c r="AM4" s="32">
        <f>IF(Table_BDD[[#This Row],[Position]]="","",MIN(Table_BDD[[#This Row],[Cumul équité]],AL3))</f>
        <v>1000.42</v>
      </c>
      <c r="AN4" s="97">
        <f>IF(Table_BDD[[#This Row],[Sommet Drawdown]]&gt;AL3,"",Table_BDD[[#This Row],[Creux Drawdown]]/Table_BDD[[#This Row],[Sommet Drawdown]]-1)</f>
        <v>0</v>
      </c>
      <c r="AO4" s="36">
        <f>IF(Table_BDD[[#This Row],[Position]]="","",IF(Table_BDD[[#This Row],[Type]]="buy",ROUND(Table_BDD[[#This Row],[Lvl Sortie]]-Table_BDD[[#This Row],[Lvl Entrée]],1),ROUND(Table_BDD[[#This Row],[Lvl Entrée]]-Table_BDD[[#This Row],[Lvl Sortie]],1)))</f>
        <v>0.9</v>
      </c>
      <c r="AP4" s="36">
        <f>IF(Table_BDD[[#This Row],[Points]]&gt;0,Table_BDD[[#This Row],[Points]],"")</f>
        <v>0.9</v>
      </c>
      <c r="AQ4" s="36" t="str">
        <f>IF(Table_BDD[[#This Row],[Points]]&lt;0,Table_BDD[[#This Row],[Points]],"")</f>
        <v/>
      </c>
      <c r="AR4" s="36">
        <f>SUM($AO$4:AO4)</f>
        <v>0.9</v>
      </c>
      <c r="AS4" s="68">
        <f>IF(Table_BDD[[#This Row],[Position]]="","",IF(Table_BDD[[#This Row],[Conformité]]="Conforme",1,0))</f>
        <v>0</v>
      </c>
      <c r="AT4" s="68">
        <f>IF(Table_BDD[[#This Row],[Position]]="","",IF(Table_BDD[[#This Row],[Conformité]]="Non conforme",1,0))</f>
        <v>1</v>
      </c>
      <c r="AU4" s="37" t="s">
        <v>17</v>
      </c>
      <c r="AV4" s="37"/>
      <c r="AW4" s="37"/>
      <c r="AX4" s="37">
        <v>0</v>
      </c>
      <c r="AY4" s="37">
        <v>0</v>
      </c>
      <c r="AZ4" s="37">
        <v>0</v>
      </c>
      <c r="BA4" s="37" t="str">
        <f>IF(Table_BDD[[#This Row],[Position]]="","Sans objet",IF(AND(Table_BDD[[#This Row],[Type]]="sell",Table_BDD[[#This Row],[S / L]]&lt;Table_BDD[[#This Row],[Lvl Entrée]],Table_BDD[[#This Row],[Lvl Sortie]]&lt;=Table_BDD[[#This Row],[S / L]]+2,Table_BDD[[#This Row],[Lvl Sortie]]&lt;Table_BDD[[#This Row],[Lvl Entrée]]-19),"Oui",IF(AND(Table_BDD[[#This Row],[Type]]="buy",Table_BDD[[#This Row],[S / L]]&gt;Table_BDD[[#This Row],[Lvl Entrée]],Table_BDD[[#This Row],[Lvl Sortie]]&gt;=Table_BDD[[#This Row],[S / L]]-2,Table_BDD[[#This Row],[S / L]]&gt;Table_BDD[[#This Row],[Lvl Entrée]]+19),"Oui","Non")))</f>
        <v>Non</v>
      </c>
      <c r="BB4" s="37" t="str">
        <f>IF(Table_BDD[[#This Row],[Position]]="","Sans objet",IF(AND(Table_BDD[[#This Row],[Type]]="sell",Table_BDD[[#This Row],[S / L]]&lt;Table_BDD[[#This Row],[Lvl Entrée]],Table_BDD[[#This Row],[Points]]&gt;=-1),"Oui",IF(AND(Table_BDD[[#This Row],[Type]]="sell",Table_BDD[[#This Row],[S / L]]&gt;Table_BDD[[#This Row],[Lvl Entrée]]),"Non",IF(AND(Table_BDD[[#This Row],[Type]]="buy",Table_BDD[[#This Row],[S / L]]&lt;Table_BDD[[#This Row],[Lvl Entrée]]),"Non",IF(AND(Table_BDD[[#This Row],[Type]]="buy",Table_BDD[[#This Row],[S / L]]&gt;Table_BDD[[#This Row],[Lvl Entrée]],Table_BDD[[#This Row],[Points]]&gt;=-1),"Oui")))))</f>
        <v>Oui</v>
      </c>
      <c r="BC4" s="37" t="str">
        <f>IF(Table_BDD[[#This Row],[Position]]="","Sans objet",IF(Table_BDD[[#This Row],[T / P]]="","Non",IF(AND(Table_BDD[[#This Row],[Type]]="sell",Table_BDD[[#This Row],[Lvl Sortie]]&lt;=Table_BDD[[#This Row],[T / P]]),"Oui",IF(AND(Table_BDD[[#This Row],[Type]]="buy",Table_BDD[[#This Row],[Lvl Sortie]]&gt;=Table_BDD[[#This Row],[T / P]]),"Oui","Non"))))</f>
        <v>Non</v>
      </c>
      <c r="BD4" s="91">
        <f t="array" ref="BD4">IFERROR(INDEX(downloadFile[#All],MATCH(Table_BDD[[#This Row],[Date]],downloadFile[[#All],[Column1]],0),2),BD3)</f>
        <v>1.1066</v>
      </c>
      <c r="BE4" s="89">
        <f>IF(Table_BDD[[#This Row],[Position]]="","",IF(Table_BDD[[#This Row],[Symbole]]="UsaInd",(Table_BDD[[#This Row],[Volume]]*Table_BDD[[#This Row],[Lvl Entrée]])/(Table_BDD[[#This Row],[Equité avant trade]]*Table_BDD[[#This Row],[EUR/USD]]),IF(Table_BDD[[#This Row],[Symbole]]="Ger30",(Table_BDD[[#This Row],[Volume]]*Table_BDD[[#This Row],[Lvl Entrée]])/Table_BDD[[#This Row],[Equité avant trade]],)))</f>
        <v>12.819618651726007</v>
      </c>
      <c r="BF4" s="38">
        <f>IF(Table_BDD[[#This Row],[Position]]="","",IF(Table_BDD[[#This Row],[Conformité]]="Non conforme",0,(MROUND(3*((Table_BDD[[#This Row],[Conviction]]+Table_BDD[[#This Row],[Timing]]+Table_BDD[[#This Row],[Sortie]])+1)-2,1))))</f>
        <v>0</v>
      </c>
      <c r="BG4" s="38" t="str">
        <f>IF(Table_BDD[[#This Row],[Position]]="","",IF(Table_BDD[[#This Row],[Points]]&lt;-5,"--",IF(AND(Table_BDD[[#This Row],[Points]]&gt;=-5,Table_BDD[[#This Row],[Points]]&lt;-1.5),"-",IF(AND(Table_BDD[[#This Row],[Points]]&gt;=-1.5,Table_BDD[[#This Row],[Points]]&lt;1.5),"0",IF(AND(Table_BDD[[#This Row],[Points]]&gt;=1.5,Table_BDD[[#This Row],[Points]]&lt;=70),"+",IF(Table_BDD[[#This Row],[Points]]&gt;70,"++"))))))</f>
        <v>0</v>
      </c>
      <c r="BH4" s="37" t="str">
        <f>IF(Table_BDD[[#This Row],[Position]]="","",IF(Table_BDD[[#This Row],[Points]]&gt;0,"Gagnant",IF(Table_BDD[[#This Row],[Points]]=0,"Flat","Perdant")))</f>
        <v>Gagnant</v>
      </c>
      <c r="BI4" s="37">
        <f>IF(Table_BDD[[#This Row],[Position]]="","",IF(Table_BDD[[#This Row],[Résultat]]="Gagnant",1,0))</f>
        <v>1</v>
      </c>
      <c r="BJ4" s="37">
        <f>IF(Table_BDD[[#This Row],[Position]]="","",IF(Table_BDD[[#This Row],[Résultat]]="Perdant",1,0))</f>
        <v>0</v>
      </c>
      <c r="BK4" s="37"/>
      <c r="BL4" s="145">
        <f>IF(Table_BDD[[#This Row],[T / P]]="","",Table_BDD[[#This Row],[T / P]])</f>
        <v>28232.38</v>
      </c>
      <c r="BM4" s="147"/>
      <c r="BN4" s="147"/>
      <c r="BO4" s="147"/>
      <c r="BP4" s="147"/>
      <c r="BQ4" s="127"/>
    </row>
    <row r="5" spans="1:69" x14ac:dyDescent="0.2">
      <c r="A5" s="28">
        <v>43864.659386574072</v>
      </c>
      <c r="B5" s="29">
        <v>259377510</v>
      </c>
      <c r="C5" s="30" t="s">
        <v>8</v>
      </c>
      <c r="D5" s="30" t="s">
        <v>10</v>
      </c>
      <c r="E5" s="30">
        <v>0.5</v>
      </c>
      <c r="F5" s="31">
        <v>28510.82</v>
      </c>
      <c r="G5" s="31">
        <v>28520.82</v>
      </c>
      <c r="H5" s="31"/>
      <c r="I5" s="28">
        <v>43864.659872685188</v>
      </c>
      <c r="J5" s="31">
        <v>28521.13</v>
      </c>
      <c r="K5" s="31">
        <v>0</v>
      </c>
      <c r="L5" s="31">
        <v>0</v>
      </c>
      <c r="M5" s="32">
        <v>-4.67</v>
      </c>
      <c r="N5" s="148">
        <f>IF(Table_BDD[[#This Row],[Position]]="","",ROW()-3)</f>
        <v>2</v>
      </c>
      <c r="O5" s="32">
        <f>SUM($L$4:M5)</f>
        <v>-4.25</v>
      </c>
      <c r="P5" s="32">
        <f>Table_BDD[[#This Row],[Equité avant trade]]+Table_BDD[[#This Row],[Profit]]+Table_BDD[[#This Row],[Echange]]</f>
        <v>995.75</v>
      </c>
      <c r="Q5" s="52">
        <f>INT(Table_BDD[[#This Row],[Horodatage cloture]])</f>
        <v>43864</v>
      </c>
      <c r="R5" s="34">
        <f>WEEKNUM(Table_BDD[[#This Row],[Horodatage cloture]],2)</f>
        <v>6</v>
      </c>
      <c r="S5" s="61">
        <f>WEEKDAY(Table_BDD[[#This Row],[Horodatage cloture]])</f>
        <v>2</v>
      </c>
      <c r="T5" s="63">
        <f>HOUR(Table_BDD[[#This Row],[Horodatage cloture]])</f>
        <v>15</v>
      </c>
      <c r="U5" s="68">
        <f>IF(Table_BDD[[#This Row],[Position]]="","",IF(Table_BDD[[#This Row],[Valeur début de journée unique]]&lt;&gt;0,1,0))</f>
        <v>0</v>
      </c>
      <c r="V5" s="68" t="str">
        <f>IF(Table_BDD[[#This Row],[Nb de séance de trading]]=1,COUNTIF(Table_BDD[Date],Table_BDD[[#This Row],[Date]]),"")</f>
        <v/>
      </c>
      <c r="W5" s="33">
        <f>IF(Table_BDD[[#This Row],[Position]]="","",IF(Table_BDD[[#This Row],[Type]]="buy",ROUND(Table_BDD[[#This Row],[Lvl Entrée]]-Table_BDD[[#This Row],[S / L]],1),ROUND(Table_BDD[[#This Row],[S / L]]-Table_BDD[[#This Row],[Lvl Entrée]],1)))</f>
        <v>10</v>
      </c>
      <c r="X5" s="33">
        <f>IF(Table_BDD[[#This Row],[Position]]="","",IF(Table_BDD[[#This Row],[T / P]]=0,200,IF(Table_BDD[[#This Row],[Type]]="buy",ROUND(Table_BDD[[#This Row],[T / P]]-Table_BDD[[#This Row],[Lvl Entrée]],1),ROUND(Table_BDD[[#This Row],[Lvl Entrée]]-Table_BDD[[#This Row],[T / P]],1))))</f>
        <v>200</v>
      </c>
      <c r="Y5" s="34">
        <f>IF(Table_BDD[[#This Row],[Position]]="","",IF(Table_BDD[[#This Row],[Ecart du SL]]&gt;0,ROUND(ABS(Table_BDD[[#This Row],[Ecart du TP]])/ABS(Table_BDD[[#This Row],[Ecart du SL]]),1),ROUND(ABS(Table_BDD[[#This Row],[Ecart du TP]])/10,1)))</f>
        <v>20</v>
      </c>
      <c r="Z5" s="34">
        <f>IF(Table_BDD[[#This Row],[Position]]="","",IF(Table_BDD[[#This Row],[Ecart du SL]]&lt;0,IF(AND(Table_BDD[[#This Row],[Profit]]&gt;0,Table_BDD[[#This Row],[Type]]="sell"),ROUND((Table_BDD[[#This Row],[Lvl Entrée]]-Table_BDD[[#This Row],[Lvl Sortie]])/(10),1),IF(AND(Table_BDD[[#This Row],[Profit]]&gt;0,Table_BDD[[#This Row],[Type]]="buy"),ROUND((Table_BDD[[#This Row],[Lvl Sortie]]-Table_BDD[[#This Row],[Lvl Entrée]])/(10),1),)),IF(AND(Table_BDD[[#This Row],[Profit]]&gt;0,Table_BDD[[#This Row],[Type]]="sell"),ROUND((Table_BDD[[#This Row],[Lvl Entrée]]-Table_BDD[[#This Row],[Lvl Sortie]])/(Table_BDD[[#This Row],[S / L]]-Table_BDD[[#This Row],[Lvl Entrée]]),1),IF(AND(Table_BDD[[#This Row],[Profit]]&gt;0,Table_BDD[[#This Row],[Type]]="buy"),ROUND((Table_BDD[[#This Row],[Lvl Sortie]]-Table_BDD[[#This Row],[Lvl Entrée]])/(Table_BDD[[#This Row],[Lvl Entrée]]-Table_BDD[[#This Row],[S / L]]),1),ROUND(Table_BDD[[#This Row],[Points]]/10,1)))))</f>
        <v>-1</v>
      </c>
      <c r="AA5" s="32">
        <f>IF(Table_BDD[[#This Row],[Position]]="",AA4,Table_BDD[[#This Row],[Equité après trade]]-Table_BDD[[#This Row],[Profit]]-Table_BDD[[#This Row],[Echange]])</f>
        <v>1000.42</v>
      </c>
      <c r="AB5" s="149">
        <f>$B$1+SUM($L$4:M5)</f>
        <v>995.75</v>
      </c>
      <c r="AC5" s="150">
        <f>IF(Table_BDD[[#This Row],[Position]]="","",_xlfn.MINIFS(Table_BDD[Horodatage ouverture],Table_BDD[Date],Table_BDD[Date]))</f>
        <v>43864.403865740744</v>
      </c>
      <c r="AD5" s="149">
        <f>VLOOKUP(_xlfn.MINIFS(Table_BDD[Horodatage ouverture],Table_BDD[Date],Table_BDD[Date]),Table_BDD[[Horodatage ouverture]:[Heure derniere valeur]],AA$2)</f>
        <v>1000</v>
      </c>
      <c r="AE5" s="149">
        <f>IF(VLOOKUP(_xlfn.MINIFS(Table_BDD[Horodatage ouverture],Table_BDD[Date],Table_BDD[Date]),Table_BDD[[Horodatage ouverture]:[Heure derniere valeur]],AA$2)=Table_BDD[[#This Row],[Equité avant trade]],VLOOKUP(_xlfn.MINIFS(Table_BDD[Horodatage ouverture],Table_BDD[Date],Table_BDD[Date]),Table_BDD[[Horodatage ouverture]:[Heure derniere valeur]],AA$2),0)</f>
        <v>0</v>
      </c>
      <c r="AF5" s="150">
        <f>IF(Table_BDD[[#This Row],[Position]]="","",_xlfn.MAXIFS(Table_BDD[Horodatage ouverture],Table_BDD[Date],Table_BDD[Date]))</f>
        <v>43864.672789351855</v>
      </c>
      <c r="AG5" s="32">
        <f>VLOOKUP(_xlfn.MAXIFS(Table_BDD[Horodatage cloture],Table_BDD[Date],Table_BDD[Date]),Table_BDD[[Horodatage ouverture]:[Heure derniere valeur]],AB$2)</f>
        <v>1010.03</v>
      </c>
      <c r="AH5" s="32">
        <f>IF(VLOOKUP(_xlfn.MAXIFS(Table_BDD[Horodatage cloture],Table_BDD[Date],Table_BDD[Date]),Table_BDD[[Horodatage ouverture]:[Heure derniere valeur]],AB$2)=Table_BDD[[#This Row],[Equité après trade]],VLOOKUP(_xlfn.MAXIFS(Table_BDD[Horodatage cloture],Table_BDD[Date],Table_BDD[Date]),Table_BDD[[Horodatage ouverture]:[Heure derniere valeur]],AB$2),0)</f>
        <v>0</v>
      </c>
      <c r="AI5" s="32" t="e">
        <f>IF(Table_BDD[[#This Row],[Valeur fin de journée unique]]=0,#N/A,Table_BDD[[#This Row],[Valeur fin de journée unique]])</f>
        <v>#N/A</v>
      </c>
      <c r="AJ5" s="35">
        <f>IF(Table_BDD[[#This Row],[Position]]="","",(Table_BDD[[#This Row],[Equité après trade]]-Table_BDD[[#This Row],[Equité avant trade]])/Table_BDD[[#This Row],[Equité avant trade]])</f>
        <v>-4.6680394234421135E-3</v>
      </c>
      <c r="AK5" s="35" t="str">
        <f>IFERROR(((INDEX(Table_BDD[[Trade n°]:[Valeur fin de journée unique]],Table_BDD[[#This Row],[Nb de trade du jour]]+Table_BDD[[#This Row],[Trade n°]]-1,21))-Table_BDD[[#This Row],[Valeur début de journée unique]])/Table_BDD[[#This Row],[Valeur début de journée unique]],"")</f>
        <v/>
      </c>
      <c r="AL5" s="32">
        <f>IF(Table_BDD[[#This Row],[Position]]="","",MAX(Table_BDD[[#This Row],[Cumul équité]],AL4))</f>
        <v>1000.42</v>
      </c>
      <c r="AM5" s="32">
        <f>IF(Table_BDD[[#This Row],[Position]]="","",MIN(Table_BDD[[#This Row],[Cumul équité]],AL4))</f>
        <v>995.75</v>
      </c>
      <c r="AN5" s="97">
        <f>IF(Table_BDD[[#This Row],[Sommet Drawdown]]&gt;AL4,"",Table_BDD[[#This Row],[Creux Drawdown]]/Table_BDD[[#This Row],[Sommet Drawdown]]-1)</f>
        <v>-4.6680394234420719E-3</v>
      </c>
      <c r="AO5" s="36">
        <f>IF(Table_BDD[[#This Row],[Position]]="","",IF(Table_BDD[[#This Row],[Type]]="buy",ROUND(Table_BDD[[#This Row],[Lvl Sortie]]-Table_BDD[[#This Row],[Lvl Entrée]],1),ROUND(Table_BDD[[#This Row],[Lvl Entrée]]-Table_BDD[[#This Row],[Lvl Sortie]],1)))</f>
        <v>-10.3</v>
      </c>
      <c r="AP5" s="36" t="str">
        <f>IF(Table_BDD[[#This Row],[Points]]&gt;0,Table_BDD[[#This Row],[Points]],"")</f>
        <v/>
      </c>
      <c r="AQ5" s="36">
        <f>IF(Table_BDD[[#This Row],[Points]]&lt;0,Table_BDD[[#This Row],[Points]],"")</f>
        <v>-10.3</v>
      </c>
      <c r="AR5" s="36">
        <f>SUM($AO$4:AO5)</f>
        <v>-9.4</v>
      </c>
      <c r="AS5" s="68">
        <f>IF(Table_BDD[[#This Row],[Position]]="","",IF(Table_BDD[[#This Row],[Conformité]]="Conforme",1,0))</f>
        <v>0</v>
      </c>
      <c r="AT5" s="68">
        <f>IF(Table_BDD[[#This Row],[Position]]="","",IF(Table_BDD[[#This Row],[Conformité]]="Non conforme",1,0))</f>
        <v>1</v>
      </c>
      <c r="AU5" s="37" t="s">
        <v>17</v>
      </c>
      <c r="AV5" s="37"/>
      <c r="AW5" s="37"/>
      <c r="AX5" s="37">
        <v>0</v>
      </c>
      <c r="AY5" s="37">
        <v>0</v>
      </c>
      <c r="AZ5" s="37">
        <v>0</v>
      </c>
      <c r="BA5" s="37" t="str">
        <f>IF(Table_BDD[[#This Row],[Position]]="","Sans objet",IF(AND(Table_BDD[[#This Row],[Type]]="sell",Table_BDD[[#This Row],[S / L]]&lt;Table_BDD[[#This Row],[Lvl Entrée]],Table_BDD[[#This Row],[Lvl Sortie]]&lt;=Table_BDD[[#This Row],[S / L]]+2,Table_BDD[[#This Row],[Lvl Sortie]]&lt;Table_BDD[[#This Row],[Lvl Entrée]]-19),"Oui",IF(AND(Table_BDD[[#This Row],[Type]]="buy",Table_BDD[[#This Row],[S / L]]&gt;Table_BDD[[#This Row],[Lvl Entrée]],Table_BDD[[#This Row],[Lvl Sortie]]&gt;=Table_BDD[[#This Row],[S / L]]-2,Table_BDD[[#This Row],[S / L]]&gt;Table_BDD[[#This Row],[Lvl Entrée]]+19),"Oui","Non")))</f>
        <v>Non</v>
      </c>
      <c r="BB5" s="37" t="str">
        <f>IF(Table_BDD[[#This Row],[Position]]="","Sans objet",IF(AND(Table_BDD[[#This Row],[Type]]="sell",Table_BDD[[#This Row],[S / L]]&lt;Table_BDD[[#This Row],[Lvl Entrée]],Table_BDD[[#This Row],[Points]]&gt;=-1),"Oui",IF(AND(Table_BDD[[#This Row],[Type]]="sell",Table_BDD[[#This Row],[S / L]]&gt;Table_BDD[[#This Row],[Lvl Entrée]]),"Non",IF(AND(Table_BDD[[#This Row],[Type]]="buy",Table_BDD[[#This Row],[S / L]]&lt;Table_BDD[[#This Row],[Lvl Entrée]]),"Non",IF(AND(Table_BDD[[#This Row],[Type]]="buy",Table_BDD[[#This Row],[S / L]]&gt;Table_BDD[[#This Row],[Lvl Entrée]],Table_BDD[[#This Row],[Points]]&gt;=-1),"Oui")))))</f>
        <v>Non</v>
      </c>
      <c r="BC5" s="37" t="str">
        <f>IF(Table_BDD[[#This Row],[Position]]="","Sans objet",IF(Table_BDD[[#This Row],[T / P]]="","Non",IF(AND(Table_BDD[[#This Row],[Type]]="sell",Table_BDD[[#This Row],[Lvl Sortie]]&lt;=Table_BDD[[#This Row],[T / P]]),"Oui",IF(AND(Table_BDD[[#This Row],[Type]]="buy",Table_BDD[[#This Row],[Lvl Sortie]]&gt;=Table_BDD[[#This Row],[T / P]]),"Oui","Non"))))</f>
        <v>Non</v>
      </c>
      <c r="BD5" s="91">
        <f t="array" ref="BD5">IFERROR(INDEX(downloadFile[#All],MATCH(Table_BDD[[#This Row],[Date]],downloadFile[[#All],[Column1]],0),2),BD4)</f>
        <v>1.1066</v>
      </c>
      <c r="BE5" s="89">
        <f>IF(Table_BDD[[#This Row],[Position]]="","",IF(Table_BDD[[#This Row],[Symbole]]="UsaInd",(Table_BDD[[#This Row],[Volume]]*Table_BDD[[#This Row],[Lvl Entrée]])/(Table_BDD[[#This Row],[Equité avant trade]]*Table_BDD[[#This Row],[EUR/USD]]),IF(Table_BDD[[#This Row],[Symbole]]="Ger30",(Table_BDD[[#This Row],[Volume]]*Table_BDD[[#This Row],[Lvl Entrée]])/Table_BDD[[#This Row],[Equité avant trade]],)))</f>
        <v>12.876762372491065</v>
      </c>
      <c r="BF5" s="38">
        <f>IF(Table_BDD[[#This Row],[Position]]="","",IF(Table_BDD[[#This Row],[Conformité]]="Non conforme",0,(MROUND(3*((Table_BDD[[#This Row],[Conviction]]+Table_BDD[[#This Row],[Timing]]+Table_BDD[[#This Row],[Sortie]])+1)-2,1))))</f>
        <v>0</v>
      </c>
      <c r="BG5" s="38" t="str">
        <f>IF(Table_BDD[[#This Row],[Position]]="","",IF(Table_BDD[[#This Row],[Points]]&lt;-5,"--",IF(AND(Table_BDD[[#This Row],[Points]]&gt;=-5,Table_BDD[[#This Row],[Points]]&lt;-1.5),"-",IF(AND(Table_BDD[[#This Row],[Points]]&gt;=-1.5,Table_BDD[[#This Row],[Points]]&lt;1.5),"0",IF(AND(Table_BDD[[#This Row],[Points]]&gt;=1.5,Table_BDD[[#This Row],[Points]]&lt;=70),"+",IF(Table_BDD[[#This Row],[Points]]&gt;70,"++"))))))</f>
        <v>--</v>
      </c>
      <c r="BH5" s="37" t="str">
        <f>IF(Table_BDD[[#This Row],[Position]]="","",IF(Table_BDD[[#This Row],[Points]]&gt;0,"Gagnant",IF(Table_BDD[[#This Row],[Points]]=0,"Flat","Perdant")))</f>
        <v>Perdant</v>
      </c>
      <c r="BI5" s="40">
        <f>IF(Table_BDD[[#This Row],[Position]]="","",IF(Table_BDD[[#This Row],[Résultat]]="Gagnant",1,0))</f>
        <v>0</v>
      </c>
      <c r="BJ5" s="40">
        <f>IF(Table_BDD[[#This Row],[Position]]="","",IF(Table_BDD[[#This Row],[Résultat]]="Perdant",1,0))</f>
        <v>1</v>
      </c>
      <c r="BK5" s="40"/>
      <c r="BL5" s="145" t="str">
        <f>IF(Table_BDD[[#This Row],[T / P]]="","",Table_BDD[[#This Row],[T / P]])</f>
        <v/>
      </c>
      <c r="BM5" s="147"/>
      <c r="BN5" s="147"/>
      <c r="BO5" s="147"/>
      <c r="BP5" s="147"/>
      <c r="BQ5" s="127"/>
    </row>
    <row r="6" spans="1:69" x14ac:dyDescent="0.2">
      <c r="A6" s="28">
        <v>43864.660219907404</v>
      </c>
      <c r="B6" s="29">
        <v>259377664</v>
      </c>
      <c r="C6" s="30" t="s">
        <v>8</v>
      </c>
      <c r="D6" s="30" t="s">
        <v>10</v>
      </c>
      <c r="E6" s="30">
        <v>0.5</v>
      </c>
      <c r="F6" s="31">
        <v>28518.89</v>
      </c>
      <c r="G6" s="31">
        <v>28528.89</v>
      </c>
      <c r="H6" s="31"/>
      <c r="I6" s="28">
        <v>43864.660358796296</v>
      </c>
      <c r="J6" s="31">
        <v>28528.99</v>
      </c>
      <c r="K6" s="31">
        <v>0</v>
      </c>
      <c r="L6" s="31">
        <v>0</v>
      </c>
      <c r="M6" s="32">
        <v>-4.57</v>
      </c>
      <c r="N6" s="148">
        <f>IF(Table_BDD[[#This Row],[Position]]="","",ROW()-3)</f>
        <v>3</v>
      </c>
      <c r="O6" s="32">
        <f>SUM($L$4:M6)</f>
        <v>-8.82</v>
      </c>
      <c r="P6" s="32">
        <f>Table_BDD[[#This Row],[Equité avant trade]]+Table_BDD[[#This Row],[Profit]]+Table_BDD[[#This Row],[Echange]]</f>
        <v>991.18</v>
      </c>
      <c r="Q6" s="52">
        <f>INT(Table_BDD[[#This Row],[Horodatage cloture]])</f>
        <v>43864</v>
      </c>
      <c r="R6" s="34">
        <f>WEEKNUM(Table_BDD[[#This Row],[Horodatage cloture]],2)</f>
        <v>6</v>
      </c>
      <c r="S6" s="61">
        <f>WEEKDAY(Table_BDD[[#This Row],[Horodatage cloture]])</f>
        <v>2</v>
      </c>
      <c r="T6" s="63">
        <f>HOUR(Table_BDD[[#This Row],[Horodatage cloture]])</f>
        <v>15</v>
      </c>
      <c r="U6" s="68">
        <f>IF(Table_BDD[[#This Row],[Position]]="","",IF(Table_BDD[[#This Row],[Valeur début de journée unique]]&lt;&gt;0,1,0))</f>
        <v>0</v>
      </c>
      <c r="V6" s="68" t="str">
        <f>IF(Table_BDD[[#This Row],[Nb de séance de trading]]=1,COUNTIF(Table_BDD[Date],Table_BDD[[#This Row],[Date]]),"")</f>
        <v/>
      </c>
      <c r="W6" s="33">
        <f>IF(Table_BDD[[#This Row],[Position]]="","",IF(Table_BDD[[#This Row],[Type]]="buy",ROUND(Table_BDD[[#This Row],[Lvl Entrée]]-Table_BDD[[#This Row],[S / L]],1),ROUND(Table_BDD[[#This Row],[S / L]]-Table_BDD[[#This Row],[Lvl Entrée]],1)))</f>
        <v>10</v>
      </c>
      <c r="X6" s="33">
        <f>IF(Table_BDD[[#This Row],[Position]]="","",IF(Table_BDD[[#This Row],[T / P]]=0,200,IF(Table_BDD[[#This Row],[Type]]="buy",ROUND(Table_BDD[[#This Row],[T / P]]-Table_BDD[[#This Row],[Lvl Entrée]],1),ROUND(Table_BDD[[#This Row],[Lvl Entrée]]-Table_BDD[[#This Row],[T / P]],1))))</f>
        <v>200</v>
      </c>
      <c r="Y6" s="34">
        <f>IF(Table_BDD[[#This Row],[Position]]="","",IF(Table_BDD[[#This Row],[Ecart du SL]]&gt;0,ROUND(ABS(Table_BDD[[#This Row],[Ecart du TP]])/ABS(Table_BDD[[#This Row],[Ecart du SL]]),1),ROUND(ABS(Table_BDD[[#This Row],[Ecart du TP]])/10,1)))</f>
        <v>20</v>
      </c>
      <c r="Z6" s="34">
        <f>IF(Table_BDD[[#This Row],[Position]]="","",IF(Table_BDD[[#This Row],[Ecart du SL]]&lt;0,IF(AND(Table_BDD[[#This Row],[Profit]]&gt;0,Table_BDD[[#This Row],[Type]]="sell"),ROUND((Table_BDD[[#This Row],[Lvl Entrée]]-Table_BDD[[#This Row],[Lvl Sortie]])/(10),1),IF(AND(Table_BDD[[#This Row],[Profit]]&gt;0,Table_BDD[[#This Row],[Type]]="buy"),ROUND((Table_BDD[[#This Row],[Lvl Sortie]]-Table_BDD[[#This Row],[Lvl Entrée]])/(10),1),)),IF(AND(Table_BDD[[#This Row],[Profit]]&gt;0,Table_BDD[[#This Row],[Type]]="sell"),ROUND((Table_BDD[[#This Row],[Lvl Entrée]]-Table_BDD[[#This Row],[Lvl Sortie]])/(Table_BDD[[#This Row],[S / L]]-Table_BDD[[#This Row],[Lvl Entrée]]),1),IF(AND(Table_BDD[[#This Row],[Profit]]&gt;0,Table_BDD[[#This Row],[Type]]="buy"),ROUND((Table_BDD[[#This Row],[Lvl Sortie]]-Table_BDD[[#This Row],[Lvl Entrée]])/(Table_BDD[[#This Row],[Lvl Entrée]]-Table_BDD[[#This Row],[S / L]]),1),ROUND(Table_BDD[[#This Row],[Points]]/10,1)))))</f>
        <v>-1</v>
      </c>
      <c r="AA6" s="32">
        <f>IF(Table_BDD[[#This Row],[Position]]="",AA5,Table_BDD[[#This Row],[Equité après trade]]-Table_BDD[[#This Row],[Profit]]-Table_BDD[[#This Row],[Echange]])</f>
        <v>995.75</v>
      </c>
      <c r="AB6" s="149">
        <f>$B$1+SUM($L$4:M6)</f>
        <v>991.18</v>
      </c>
      <c r="AC6" s="150">
        <f>IF(Table_BDD[[#This Row],[Position]]="","",_xlfn.MINIFS(Table_BDD[Horodatage ouverture],Table_BDD[Date],Table_BDD[Date]))</f>
        <v>43864.403865740744</v>
      </c>
      <c r="AD6" s="149">
        <f>VLOOKUP(_xlfn.MINIFS(Table_BDD[Horodatage ouverture],Table_BDD[Date],Table_BDD[Date]),Table_BDD[[Horodatage ouverture]:[Heure derniere valeur]],AA$2)</f>
        <v>1000</v>
      </c>
      <c r="AE6" s="149">
        <f>IF(VLOOKUP(_xlfn.MINIFS(Table_BDD[Horodatage ouverture],Table_BDD[Date],Table_BDD[Date]),Table_BDD[[Horodatage ouverture]:[Heure derniere valeur]],AA$2)=Table_BDD[[#This Row],[Equité avant trade]],VLOOKUP(_xlfn.MINIFS(Table_BDD[Horodatage ouverture],Table_BDD[Date],Table_BDD[Date]),Table_BDD[[Horodatage ouverture]:[Heure derniere valeur]],AA$2),0)</f>
        <v>0</v>
      </c>
      <c r="AF6" s="150">
        <f>IF(Table_BDD[[#This Row],[Position]]="","",_xlfn.MAXIFS(Table_BDD[Horodatage ouverture],Table_BDD[Date],Table_BDD[Date]))</f>
        <v>43864.672789351855</v>
      </c>
      <c r="AG6" s="32">
        <f>VLOOKUP(_xlfn.MAXIFS(Table_BDD[Horodatage cloture],Table_BDD[Date],Table_BDD[Date]),Table_BDD[[Horodatage ouverture]:[Heure derniere valeur]],AB$2)</f>
        <v>1010.03</v>
      </c>
      <c r="AH6" s="32">
        <f>IF(VLOOKUP(_xlfn.MAXIFS(Table_BDD[Horodatage cloture],Table_BDD[Date],Table_BDD[Date]),Table_BDD[[Horodatage ouverture]:[Heure derniere valeur]],AB$2)=Table_BDD[[#This Row],[Equité après trade]],VLOOKUP(_xlfn.MAXIFS(Table_BDD[Horodatage cloture],Table_BDD[Date],Table_BDD[Date]),Table_BDD[[Horodatage ouverture]:[Heure derniere valeur]],AB$2),0)</f>
        <v>0</v>
      </c>
      <c r="AI6" s="32" t="e">
        <f>IF(Table_BDD[[#This Row],[Valeur fin de journée unique]]=0,#N/A,Table_BDD[[#This Row],[Valeur fin de journée unique]])</f>
        <v>#N/A</v>
      </c>
      <c r="AJ6" s="35">
        <f>IF(Table_BDD[[#This Row],[Position]]="","",(Table_BDD[[#This Row],[Equité après trade]]-Table_BDD[[#This Row],[Equité avant trade]])/Table_BDD[[#This Row],[Equité avant trade]])</f>
        <v>-4.5895053979413004E-3</v>
      </c>
      <c r="AK6" s="35" t="str">
        <f>IFERROR(((INDEX(Table_BDD[[Trade n°]:[Valeur fin de journée unique]],Table_BDD[[#This Row],[Nb de trade du jour]]+Table_BDD[[#This Row],[Trade n°]]-1,21))-Table_BDD[[#This Row],[Valeur début de journée unique]])/Table_BDD[[#This Row],[Valeur début de journée unique]],"")</f>
        <v/>
      </c>
      <c r="AL6" s="32">
        <f>IF(Table_BDD[[#This Row],[Position]]="","",MAX(Table_BDD[[#This Row],[Cumul équité]],AL5))</f>
        <v>1000.42</v>
      </c>
      <c r="AM6" s="32">
        <f>IF(Table_BDD[[#This Row],[Position]]="","",MIN(Table_BDD[[#This Row],[Cumul équité]],AL5))</f>
        <v>991.18</v>
      </c>
      <c r="AN6" s="97">
        <f>IF(Table_BDD[[#This Row],[Sommet Drawdown]]&gt;AL5,"",Table_BDD[[#This Row],[Creux Drawdown]]/Table_BDD[[#This Row],[Sommet Drawdown]]-1)</f>
        <v>-9.2361208292517372E-3</v>
      </c>
      <c r="AO6" s="36">
        <f>IF(Table_BDD[[#This Row],[Position]]="","",IF(Table_BDD[[#This Row],[Type]]="buy",ROUND(Table_BDD[[#This Row],[Lvl Sortie]]-Table_BDD[[#This Row],[Lvl Entrée]],1),ROUND(Table_BDD[[#This Row],[Lvl Entrée]]-Table_BDD[[#This Row],[Lvl Sortie]],1)))</f>
        <v>-10.1</v>
      </c>
      <c r="AP6" s="36" t="str">
        <f>IF(Table_BDD[[#This Row],[Points]]&gt;0,Table_BDD[[#This Row],[Points]],"")</f>
        <v/>
      </c>
      <c r="AQ6" s="36">
        <f>IF(Table_BDD[[#This Row],[Points]]&lt;0,Table_BDD[[#This Row],[Points]],"")</f>
        <v>-10.1</v>
      </c>
      <c r="AR6" s="36">
        <f>SUM($AO$4:AO6)</f>
        <v>-19.5</v>
      </c>
      <c r="AS6" s="68">
        <f>IF(Table_BDD[[#This Row],[Position]]="","",IF(Table_BDD[[#This Row],[Conformité]]="Conforme",1,0))</f>
        <v>0</v>
      </c>
      <c r="AT6" s="68">
        <f>IF(Table_BDD[[#This Row],[Position]]="","",IF(Table_BDD[[#This Row],[Conformité]]="Non conforme",1,0))</f>
        <v>1</v>
      </c>
      <c r="AU6" s="37" t="s">
        <v>17</v>
      </c>
      <c r="AV6" s="37"/>
      <c r="AW6" s="37"/>
      <c r="AX6" s="37">
        <v>0</v>
      </c>
      <c r="AY6" s="37">
        <v>0</v>
      </c>
      <c r="AZ6" s="37">
        <v>0</v>
      </c>
      <c r="BA6" s="37" t="str">
        <f>IF(Table_BDD[[#This Row],[Position]]="","Sans objet",IF(AND(Table_BDD[[#This Row],[Type]]="sell",Table_BDD[[#This Row],[S / L]]&lt;Table_BDD[[#This Row],[Lvl Entrée]],Table_BDD[[#This Row],[Lvl Sortie]]&lt;=Table_BDD[[#This Row],[S / L]]+2,Table_BDD[[#This Row],[Lvl Sortie]]&lt;Table_BDD[[#This Row],[Lvl Entrée]]-19),"Oui",IF(AND(Table_BDD[[#This Row],[Type]]="buy",Table_BDD[[#This Row],[S / L]]&gt;Table_BDD[[#This Row],[Lvl Entrée]],Table_BDD[[#This Row],[Lvl Sortie]]&gt;=Table_BDD[[#This Row],[S / L]]-2,Table_BDD[[#This Row],[S / L]]&gt;Table_BDD[[#This Row],[Lvl Entrée]]+19),"Oui","Non")))</f>
        <v>Non</v>
      </c>
      <c r="BB6" s="37" t="str">
        <f>IF(Table_BDD[[#This Row],[Position]]="","Sans objet",IF(AND(Table_BDD[[#This Row],[Type]]="sell",Table_BDD[[#This Row],[S / L]]&lt;Table_BDD[[#This Row],[Lvl Entrée]],Table_BDD[[#This Row],[Points]]&gt;=-1),"Oui",IF(AND(Table_BDD[[#This Row],[Type]]="sell",Table_BDD[[#This Row],[S / L]]&gt;Table_BDD[[#This Row],[Lvl Entrée]]),"Non",IF(AND(Table_BDD[[#This Row],[Type]]="buy",Table_BDD[[#This Row],[S / L]]&lt;Table_BDD[[#This Row],[Lvl Entrée]]),"Non",IF(AND(Table_BDD[[#This Row],[Type]]="buy",Table_BDD[[#This Row],[S / L]]&gt;Table_BDD[[#This Row],[Lvl Entrée]],Table_BDD[[#This Row],[Points]]&gt;=-1),"Oui")))))</f>
        <v>Non</v>
      </c>
      <c r="BC6" s="37" t="str">
        <f>IF(Table_BDD[[#This Row],[Position]]="","Sans objet",IF(Table_BDD[[#This Row],[T / P]]="","Non",IF(AND(Table_BDD[[#This Row],[Type]]="sell",Table_BDD[[#This Row],[Lvl Sortie]]&lt;=Table_BDD[[#This Row],[T / P]]),"Oui",IF(AND(Table_BDD[[#This Row],[Type]]="buy",Table_BDD[[#This Row],[Lvl Sortie]]&gt;=Table_BDD[[#This Row],[T / P]]),"Oui","Non"))))</f>
        <v>Non</v>
      </c>
      <c r="BD6" s="91">
        <f t="array" ref="BD6">IFERROR(INDEX(downloadFile[#All],MATCH(Table_BDD[[#This Row],[Date]],downloadFile[[#All],[Column1]],0),2),BD5)</f>
        <v>1.1066</v>
      </c>
      <c r="BE6" s="89">
        <f>IF(Table_BDD[[#This Row],[Position]]="","",IF(Table_BDD[[#This Row],[Symbole]]="UsaInd",(Table_BDD[[#This Row],[Volume]]*Table_BDD[[#This Row],[Lvl Entrée]])/(Table_BDD[[#This Row],[Equité avant trade]]*Table_BDD[[#This Row],[EUR/USD]]),IF(Table_BDD[[#This Row],[Symbole]]="Ger30",(Table_BDD[[#This Row],[Volume]]*Table_BDD[[#This Row],[Lvl Entrée]])/Table_BDD[[#This Row],[Equité avant trade]],)))</f>
        <v>12.940815382055463</v>
      </c>
      <c r="BF6" s="38">
        <f>IF(Table_BDD[[#This Row],[Position]]="","",IF(Table_BDD[[#This Row],[Conformité]]="Non conforme",0,(MROUND(3*((Table_BDD[[#This Row],[Conviction]]+Table_BDD[[#This Row],[Timing]]+Table_BDD[[#This Row],[Sortie]])+1)-2,1))))</f>
        <v>0</v>
      </c>
      <c r="BG6" s="38" t="str">
        <f>IF(Table_BDD[[#This Row],[Position]]="","",IF(Table_BDD[[#This Row],[Points]]&lt;-5,"--",IF(AND(Table_BDD[[#This Row],[Points]]&gt;=-5,Table_BDD[[#This Row],[Points]]&lt;-1.5),"-",IF(AND(Table_BDD[[#This Row],[Points]]&gt;=-1.5,Table_BDD[[#This Row],[Points]]&lt;1.5),"0",IF(AND(Table_BDD[[#This Row],[Points]]&gt;=1.5,Table_BDD[[#This Row],[Points]]&lt;=70),"+",IF(Table_BDD[[#This Row],[Points]]&gt;70,"++"))))))</f>
        <v>--</v>
      </c>
      <c r="BH6" s="37" t="str">
        <f>IF(Table_BDD[[#This Row],[Position]]="","",IF(Table_BDD[[#This Row],[Points]]&gt;0,"Gagnant",IF(Table_BDD[[#This Row],[Points]]=0,"Flat","Perdant")))</f>
        <v>Perdant</v>
      </c>
      <c r="BI6" s="40">
        <f>IF(Table_BDD[[#This Row],[Position]]="","",IF(Table_BDD[[#This Row],[Résultat]]="Gagnant",1,0))</f>
        <v>0</v>
      </c>
      <c r="BJ6" s="40">
        <f>IF(Table_BDD[[#This Row],[Position]]="","",IF(Table_BDD[[#This Row],[Résultat]]="Perdant",1,0))</f>
        <v>1</v>
      </c>
      <c r="BK6" s="40"/>
      <c r="BL6" s="145" t="str">
        <f>IF(Table_BDD[[#This Row],[T / P]]="","",Table_BDD[[#This Row],[T / P]])</f>
        <v/>
      </c>
      <c r="BM6" s="147"/>
      <c r="BN6" s="147"/>
      <c r="BO6" s="147"/>
      <c r="BP6" s="147"/>
      <c r="BQ6" s="127"/>
    </row>
    <row r="7" spans="1:69" x14ac:dyDescent="0.2">
      <c r="A7" s="28">
        <v>43864.672500000001</v>
      </c>
      <c r="B7" s="29">
        <v>259380961</v>
      </c>
      <c r="C7" s="30" t="s">
        <v>8</v>
      </c>
      <c r="D7" s="30" t="s">
        <v>9</v>
      </c>
      <c r="E7" s="30">
        <v>0.5</v>
      </c>
      <c r="F7" s="31">
        <v>28567.16</v>
      </c>
      <c r="G7" s="31">
        <v>28557.16</v>
      </c>
      <c r="H7" s="31">
        <v>28660.1</v>
      </c>
      <c r="I7" s="28">
        <v>43864.672673611109</v>
      </c>
      <c r="J7" s="31">
        <v>28557.09</v>
      </c>
      <c r="K7" s="31">
        <v>0</v>
      </c>
      <c r="L7" s="31">
        <v>0</v>
      </c>
      <c r="M7" s="32">
        <v>-4.5599999999999996</v>
      </c>
      <c r="N7" s="148">
        <f>IF(Table_BDD[[#This Row],[Position]]="","",ROW()-3)</f>
        <v>4</v>
      </c>
      <c r="O7" s="32">
        <f>SUM($L$4:M7)</f>
        <v>-13.379999999999999</v>
      </c>
      <c r="P7" s="32">
        <f>Table_BDD[[#This Row],[Equité avant trade]]+Table_BDD[[#This Row],[Profit]]+Table_BDD[[#This Row],[Echange]]</f>
        <v>986.62</v>
      </c>
      <c r="Q7" s="52">
        <f>INT(Table_BDD[[#This Row],[Horodatage cloture]])</f>
        <v>43864</v>
      </c>
      <c r="R7" s="34">
        <f>WEEKNUM(Table_BDD[[#This Row],[Horodatage cloture]],2)</f>
        <v>6</v>
      </c>
      <c r="S7" s="61">
        <f>WEEKDAY(Table_BDD[[#This Row],[Horodatage cloture]])</f>
        <v>2</v>
      </c>
      <c r="T7" s="63">
        <f>HOUR(Table_BDD[[#This Row],[Horodatage cloture]])</f>
        <v>16</v>
      </c>
      <c r="U7" s="68">
        <f>IF(Table_BDD[[#This Row],[Position]]="","",IF(Table_BDD[[#This Row],[Valeur début de journée unique]]&lt;&gt;0,1,0))</f>
        <v>0</v>
      </c>
      <c r="V7" s="68" t="str">
        <f>IF(Table_BDD[[#This Row],[Nb de séance de trading]]=1,COUNTIF(Table_BDD[Date],Table_BDD[[#This Row],[Date]]),"")</f>
        <v/>
      </c>
      <c r="W7" s="33">
        <f>IF(Table_BDD[[#This Row],[Position]]="","",IF(Table_BDD[[#This Row],[Type]]="buy",ROUND(Table_BDD[[#This Row],[Lvl Entrée]]-Table_BDD[[#This Row],[S / L]],1),ROUND(Table_BDD[[#This Row],[S / L]]-Table_BDD[[#This Row],[Lvl Entrée]],1)))</f>
        <v>10</v>
      </c>
      <c r="X7" s="33">
        <f>IF(Table_BDD[[#This Row],[Position]]="","",IF(Table_BDD[[#This Row],[T / P]]=0,200,IF(Table_BDD[[#This Row],[Type]]="buy",ROUND(Table_BDD[[#This Row],[T / P]]-Table_BDD[[#This Row],[Lvl Entrée]],1),ROUND(Table_BDD[[#This Row],[Lvl Entrée]]-Table_BDD[[#This Row],[T / P]],1))))</f>
        <v>92.9</v>
      </c>
      <c r="Y7" s="34">
        <f>IF(Table_BDD[[#This Row],[Position]]="","",IF(Table_BDD[[#This Row],[Ecart du SL]]&gt;0,ROUND(ABS(Table_BDD[[#This Row],[Ecart du TP]])/ABS(Table_BDD[[#This Row],[Ecart du SL]]),1),ROUND(ABS(Table_BDD[[#This Row],[Ecart du TP]])/10,1)))</f>
        <v>9.3000000000000007</v>
      </c>
      <c r="Z7" s="34">
        <f>IF(Table_BDD[[#This Row],[Position]]="","",IF(Table_BDD[[#This Row],[Ecart du SL]]&lt;0,IF(AND(Table_BDD[[#This Row],[Profit]]&gt;0,Table_BDD[[#This Row],[Type]]="sell"),ROUND((Table_BDD[[#This Row],[Lvl Entrée]]-Table_BDD[[#This Row],[Lvl Sortie]])/(10),1),IF(AND(Table_BDD[[#This Row],[Profit]]&gt;0,Table_BDD[[#This Row],[Type]]="buy"),ROUND((Table_BDD[[#This Row],[Lvl Sortie]]-Table_BDD[[#This Row],[Lvl Entrée]])/(10),1),)),IF(AND(Table_BDD[[#This Row],[Profit]]&gt;0,Table_BDD[[#This Row],[Type]]="sell"),ROUND((Table_BDD[[#This Row],[Lvl Entrée]]-Table_BDD[[#This Row],[Lvl Sortie]])/(Table_BDD[[#This Row],[S / L]]-Table_BDD[[#This Row],[Lvl Entrée]]),1),IF(AND(Table_BDD[[#This Row],[Profit]]&gt;0,Table_BDD[[#This Row],[Type]]="buy"),ROUND((Table_BDD[[#This Row],[Lvl Sortie]]-Table_BDD[[#This Row],[Lvl Entrée]])/(Table_BDD[[#This Row],[Lvl Entrée]]-Table_BDD[[#This Row],[S / L]]),1),ROUND(Table_BDD[[#This Row],[Points]]/10,1)))))</f>
        <v>-1</v>
      </c>
      <c r="AA7" s="32">
        <f>IF(Table_BDD[[#This Row],[Position]]="",AA6,Table_BDD[[#This Row],[Equité après trade]]-Table_BDD[[#This Row],[Profit]]-Table_BDD[[#This Row],[Echange]])</f>
        <v>991.18</v>
      </c>
      <c r="AB7" s="149">
        <f>$B$1+SUM($L$4:M7)</f>
        <v>986.62</v>
      </c>
      <c r="AC7" s="150">
        <f>IF(Table_BDD[[#This Row],[Position]]="","",_xlfn.MINIFS(Table_BDD[Horodatage ouverture],Table_BDD[Date],Table_BDD[Date]))</f>
        <v>43864.403865740744</v>
      </c>
      <c r="AD7" s="149">
        <f>VLOOKUP(_xlfn.MINIFS(Table_BDD[Horodatage ouverture],Table_BDD[Date],Table_BDD[Date]),Table_BDD[[Horodatage ouverture]:[Heure derniere valeur]],AA$2)</f>
        <v>1000</v>
      </c>
      <c r="AE7" s="149">
        <f>IF(VLOOKUP(_xlfn.MINIFS(Table_BDD[Horodatage ouverture],Table_BDD[Date],Table_BDD[Date]),Table_BDD[[Horodatage ouverture]:[Heure derniere valeur]],AA$2)=Table_BDD[[#This Row],[Equité avant trade]],VLOOKUP(_xlfn.MINIFS(Table_BDD[Horodatage ouverture],Table_BDD[Date],Table_BDD[Date]),Table_BDD[[Horodatage ouverture]:[Heure derniere valeur]],AA$2),0)</f>
        <v>0</v>
      </c>
      <c r="AF7" s="150">
        <f>IF(Table_BDD[[#This Row],[Position]]="","",_xlfn.MAXIFS(Table_BDD[Horodatage ouverture],Table_BDD[Date],Table_BDD[Date]))</f>
        <v>43864.672789351855</v>
      </c>
      <c r="AG7" s="32">
        <f>VLOOKUP(_xlfn.MAXIFS(Table_BDD[Horodatage cloture],Table_BDD[Date],Table_BDD[Date]),Table_BDD[[Horodatage ouverture]:[Heure derniere valeur]],AB$2)</f>
        <v>1010.03</v>
      </c>
      <c r="AH7" s="32">
        <f>IF(VLOOKUP(_xlfn.MAXIFS(Table_BDD[Horodatage cloture],Table_BDD[Date],Table_BDD[Date]),Table_BDD[[Horodatage ouverture]:[Heure derniere valeur]],AB$2)=Table_BDD[[#This Row],[Equité après trade]],VLOOKUP(_xlfn.MAXIFS(Table_BDD[Horodatage cloture],Table_BDD[Date],Table_BDD[Date]),Table_BDD[[Horodatage ouverture]:[Heure derniere valeur]],AB$2),0)</f>
        <v>0</v>
      </c>
      <c r="AI7" s="32" t="e">
        <f>IF(Table_BDD[[#This Row],[Valeur fin de journée unique]]=0,#N/A,Table_BDD[[#This Row],[Valeur fin de journée unique]])</f>
        <v>#N/A</v>
      </c>
      <c r="AJ7" s="35">
        <f>IF(Table_BDD[[#This Row],[Position]]="","",(Table_BDD[[#This Row],[Equité après trade]]-Table_BDD[[#This Row],[Equité avant trade]])/Table_BDD[[#This Row],[Equité avant trade]])</f>
        <v>-4.6005770899331562E-3</v>
      </c>
      <c r="AK7" s="35" t="str">
        <f>IFERROR(((INDEX(Table_BDD[[Trade n°]:[Valeur fin de journée unique]],Table_BDD[[#This Row],[Nb de trade du jour]]+Table_BDD[[#This Row],[Trade n°]]-1,21))-Table_BDD[[#This Row],[Valeur début de journée unique]])/Table_BDD[[#This Row],[Valeur début de journée unique]],"")</f>
        <v/>
      </c>
      <c r="AL7" s="32">
        <f>IF(Table_BDD[[#This Row],[Position]]="","",MAX(Table_BDD[[#This Row],[Cumul équité]],AL6))</f>
        <v>1000.42</v>
      </c>
      <c r="AM7" s="32">
        <f>IF(Table_BDD[[#This Row],[Position]]="","",MIN(Table_BDD[[#This Row],[Cumul équité]],AL6))</f>
        <v>986.62</v>
      </c>
      <c r="AN7" s="97">
        <f>IF(Table_BDD[[#This Row],[Sommet Drawdown]]&gt;AL6,"",Table_BDD[[#This Row],[Creux Drawdown]]/Table_BDD[[#This Row],[Sommet Drawdown]]-1)</f>
        <v>-1.3794206433297984E-2</v>
      </c>
      <c r="AO7" s="36">
        <f>IF(Table_BDD[[#This Row],[Position]]="","",IF(Table_BDD[[#This Row],[Type]]="buy",ROUND(Table_BDD[[#This Row],[Lvl Sortie]]-Table_BDD[[#This Row],[Lvl Entrée]],1),ROUND(Table_BDD[[#This Row],[Lvl Entrée]]-Table_BDD[[#This Row],[Lvl Sortie]],1)))</f>
        <v>-10.1</v>
      </c>
      <c r="AP7" s="36" t="str">
        <f>IF(Table_BDD[[#This Row],[Points]]&gt;0,Table_BDD[[#This Row],[Points]],"")</f>
        <v/>
      </c>
      <c r="AQ7" s="36">
        <f>IF(Table_BDD[[#This Row],[Points]]&lt;0,Table_BDD[[#This Row],[Points]],"")</f>
        <v>-10.1</v>
      </c>
      <c r="AR7" s="36">
        <f>SUM($AO$4:AO7)</f>
        <v>-29.6</v>
      </c>
      <c r="AS7" s="68">
        <f>IF(Table_BDD[[#This Row],[Position]]="","",IF(Table_BDD[[#This Row],[Conformité]]="Conforme",1,0))</f>
        <v>0</v>
      </c>
      <c r="AT7" s="68">
        <f>IF(Table_BDD[[#This Row],[Position]]="","",IF(Table_BDD[[#This Row],[Conformité]]="Non conforme",1,0))</f>
        <v>1</v>
      </c>
      <c r="AU7" s="37" t="s">
        <v>17</v>
      </c>
      <c r="AV7" s="37"/>
      <c r="AW7" s="37"/>
      <c r="AX7" s="37">
        <v>0</v>
      </c>
      <c r="AY7" s="37">
        <v>0</v>
      </c>
      <c r="AZ7" s="37">
        <v>0</v>
      </c>
      <c r="BA7" s="37" t="str">
        <f>IF(Table_BDD[[#This Row],[Position]]="","Sans objet",IF(AND(Table_BDD[[#This Row],[Type]]="sell",Table_BDD[[#This Row],[S / L]]&lt;Table_BDD[[#This Row],[Lvl Entrée]],Table_BDD[[#This Row],[Lvl Sortie]]&lt;=Table_BDD[[#This Row],[S / L]]+2,Table_BDD[[#This Row],[Lvl Sortie]]&lt;Table_BDD[[#This Row],[Lvl Entrée]]-19),"Oui",IF(AND(Table_BDD[[#This Row],[Type]]="buy",Table_BDD[[#This Row],[S / L]]&gt;Table_BDD[[#This Row],[Lvl Entrée]],Table_BDD[[#This Row],[Lvl Sortie]]&gt;=Table_BDD[[#This Row],[S / L]]-2,Table_BDD[[#This Row],[S / L]]&gt;Table_BDD[[#This Row],[Lvl Entrée]]+19),"Oui","Non")))</f>
        <v>Non</v>
      </c>
      <c r="BB7" s="37" t="str">
        <f>IF(Table_BDD[[#This Row],[Position]]="","Sans objet",IF(AND(Table_BDD[[#This Row],[Type]]="sell",Table_BDD[[#This Row],[S / L]]&lt;Table_BDD[[#This Row],[Lvl Entrée]],Table_BDD[[#This Row],[Points]]&gt;=-1),"Oui",IF(AND(Table_BDD[[#This Row],[Type]]="sell",Table_BDD[[#This Row],[S / L]]&gt;Table_BDD[[#This Row],[Lvl Entrée]]),"Non",IF(AND(Table_BDD[[#This Row],[Type]]="buy",Table_BDD[[#This Row],[S / L]]&lt;Table_BDD[[#This Row],[Lvl Entrée]]),"Non",IF(AND(Table_BDD[[#This Row],[Type]]="buy",Table_BDD[[#This Row],[S / L]]&gt;Table_BDD[[#This Row],[Lvl Entrée]],Table_BDD[[#This Row],[Points]]&gt;=-1),"Oui")))))</f>
        <v>Non</v>
      </c>
      <c r="BC7" s="37" t="str">
        <f>IF(Table_BDD[[#This Row],[Position]]="","Sans objet",IF(Table_BDD[[#This Row],[T / P]]="","Non",IF(AND(Table_BDD[[#This Row],[Type]]="sell",Table_BDD[[#This Row],[Lvl Sortie]]&lt;=Table_BDD[[#This Row],[T / P]]),"Oui",IF(AND(Table_BDD[[#This Row],[Type]]="buy",Table_BDD[[#This Row],[Lvl Sortie]]&gt;=Table_BDD[[#This Row],[T / P]]),"Oui","Non"))))</f>
        <v>Non</v>
      </c>
      <c r="BD7" s="91">
        <f t="array" ref="BD7">IFERROR(INDEX(downloadFile[#All],MATCH(Table_BDD[[#This Row],[Date]],downloadFile[[#All],[Column1]],0),2),BD6)</f>
        <v>1.1066</v>
      </c>
      <c r="BE7" s="89">
        <f>IF(Table_BDD[[#This Row],[Position]]="","",IF(Table_BDD[[#This Row],[Symbole]]="UsaInd",(Table_BDD[[#This Row],[Volume]]*Table_BDD[[#This Row],[Lvl Entrée]])/(Table_BDD[[#This Row],[Equité avant trade]]*Table_BDD[[#This Row],[EUR/USD]]),IF(Table_BDD[[#This Row],[Symbole]]="Ger30",(Table_BDD[[#This Row],[Volume]]*Table_BDD[[#This Row],[Lvl Entrée]])/Table_BDD[[#This Row],[Equité avant trade]],)))</f>
        <v>13.02248528569972</v>
      </c>
      <c r="BF7" s="38">
        <f>IF(Table_BDD[[#This Row],[Position]]="","",IF(Table_BDD[[#This Row],[Conformité]]="Non conforme",0,(MROUND(3*((Table_BDD[[#This Row],[Conviction]]+Table_BDD[[#This Row],[Timing]]+Table_BDD[[#This Row],[Sortie]])+1)-2,1))))</f>
        <v>0</v>
      </c>
      <c r="BG7" s="38" t="str">
        <f>IF(Table_BDD[[#This Row],[Position]]="","",IF(Table_BDD[[#This Row],[Points]]&lt;-5,"--",IF(AND(Table_BDD[[#This Row],[Points]]&gt;=-5,Table_BDD[[#This Row],[Points]]&lt;-1.5),"-",IF(AND(Table_BDD[[#This Row],[Points]]&gt;=-1.5,Table_BDD[[#This Row],[Points]]&lt;1.5),"0",IF(AND(Table_BDD[[#This Row],[Points]]&gt;=1.5,Table_BDD[[#This Row],[Points]]&lt;=70),"+",IF(Table_BDD[[#This Row],[Points]]&gt;70,"++"))))))</f>
        <v>--</v>
      </c>
      <c r="BH7" s="37" t="str">
        <f>IF(Table_BDD[[#This Row],[Position]]="","",IF(Table_BDD[[#This Row],[Points]]&gt;0,"Gagnant",IF(Table_BDD[[#This Row],[Points]]=0,"Flat","Perdant")))</f>
        <v>Perdant</v>
      </c>
      <c r="BI7" s="40">
        <f>IF(Table_BDD[[#This Row],[Position]]="","",IF(Table_BDD[[#This Row],[Résultat]]="Gagnant",1,0))</f>
        <v>0</v>
      </c>
      <c r="BJ7" s="40">
        <f>IF(Table_BDD[[#This Row],[Position]]="","",IF(Table_BDD[[#This Row],[Résultat]]="Perdant",1,0))</f>
        <v>1</v>
      </c>
      <c r="BK7" s="40"/>
      <c r="BL7" s="145">
        <f>IF(Table_BDD[[#This Row],[T / P]]="","",Table_BDD[[#This Row],[T / P]])</f>
        <v>28660.1</v>
      </c>
      <c r="BM7" s="147"/>
      <c r="BN7" s="147"/>
      <c r="BO7" s="147"/>
      <c r="BP7" s="147"/>
      <c r="BQ7" s="127"/>
    </row>
    <row r="8" spans="1:69" x14ac:dyDescent="0.2">
      <c r="A8" s="28">
        <v>43864.672789351855</v>
      </c>
      <c r="B8" s="29">
        <v>259380996</v>
      </c>
      <c r="C8" s="30" t="s">
        <v>8</v>
      </c>
      <c r="D8" s="30" t="s">
        <v>9</v>
      </c>
      <c r="E8" s="30">
        <v>0.5</v>
      </c>
      <c r="F8" s="31">
        <v>28560.12</v>
      </c>
      <c r="G8" s="31">
        <v>28561.62</v>
      </c>
      <c r="H8" s="31">
        <v>28630.12</v>
      </c>
      <c r="I8" s="28">
        <v>43864.68990740741</v>
      </c>
      <c r="J8" s="31">
        <v>28611.86</v>
      </c>
      <c r="K8" s="31">
        <v>0</v>
      </c>
      <c r="L8" s="31">
        <v>0</v>
      </c>
      <c r="M8" s="32">
        <v>23.41</v>
      </c>
      <c r="N8" s="148">
        <f>IF(Table_BDD[[#This Row],[Position]]="","",ROW()-3)</f>
        <v>5</v>
      </c>
      <c r="O8" s="32">
        <f>SUM($L$4:M8)</f>
        <v>10.030000000000001</v>
      </c>
      <c r="P8" s="32">
        <f>Table_BDD[[#This Row],[Equité avant trade]]+Table_BDD[[#This Row],[Profit]]+Table_BDD[[#This Row],[Echange]]</f>
        <v>1010.03</v>
      </c>
      <c r="Q8" s="52">
        <f>INT(Table_BDD[[#This Row],[Horodatage cloture]])</f>
        <v>43864</v>
      </c>
      <c r="R8" s="34">
        <f>WEEKNUM(Table_BDD[[#This Row],[Horodatage cloture]],2)</f>
        <v>6</v>
      </c>
      <c r="S8" s="61">
        <f>WEEKDAY(Table_BDD[[#This Row],[Horodatage cloture]])</f>
        <v>2</v>
      </c>
      <c r="T8" s="63">
        <f>HOUR(Table_BDD[[#This Row],[Horodatage cloture]])</f>
        <v>16</v>
      </c>
      <c r="U8" s="68">
        <f>IF(Table_BDD[[#This Row],[Position]]="","",IF(Table_BDD[[#This Row],[Valeur début de journée unique]]&lt;&gt;0,1,0))</f>
        <v>0</v>
      </c>
      <c r="V8" s="68" t="str">
        <f>IF(Table_BDD[[#This Row],[Nb de séance de trading]]=1,COUNTIF(Table_BDD[Date],Table_BDD[[#This Row],[Date]]),"")</f>
        <v/>
      </c>
      <c r="W8" s="33">
        <f>IF(Table_BDD[[#This Row],[Position]]="","",IF(Table_BDD[[#This Row],[Type]]="buy",ROUND(Table_BDD[[#This Row],[Lvl Entrée]]-Table_BDD[[#This Row],[S / L]],1),ROUND(Table_BDD[[#This Row],[S / L]]-Table_BDD[[#This Row],[Lvl Entrée]],1)))</f>
        <v>-1.5</v>
      </c>
      <c r="X8" s="33">
        <f>IF(Table_BDD[[#This Row],[Position]]="","",IF(Table_BDD[[#This Row],[T / P]]=0,200,IF(Table_BDD[[#This Row],[Type]]="buy",ROUND(Table_BDD[[#This Row],[T / P]]-Table_BDD[[#This Row],[Lvl Entrée]],1),ROUND(Table_BDD[[#This Row],[Lvl Entrée]]-Table_BDD[[#This Row],[T / P]],1))))</f>
        <v>70</v>
      </c>
      <c r="Y8" s="34">
        <f>IF(Table_BDD[[#This Row],[Position]]="","",IF(Table_BDD[[#This Row],[Ecart du SL]]&gt;0,ROUND(ABS(Table_BDD[[#This Row],[Ecart du TP]])/ABS(Table_BDD[[#This Row],[Ecart du SL]]),1),ROUND(ABS(Table_BDD[[#This Row],[Ecart du TP]])/10,1)))</f>
        <v>7</v>
      </c>
      <c r="Z8" s="34">
        <f>IF(Table_BDD[[#This Row],[Position]]="","",IF(Table_BDD[[#This Row],[Ecart du SL]]&lt;0,IF(AND(Table_BDD[[#This Row],[Profit]]&gt;0,Table_BDD[[#This Row],[Type]]="sell"),ROUND((Table_BDD[[#This Row],[Lvl Entrée]]-Table_BDD[[#This Row],[Lvl Sortie]])/(10),1),IF(AND(Table_BDD[[#This Row],[Profit]]&gt;0,Table_BDD[[#This Row],[Type]]="buy"),ROUND((Table_BDD[[#This Row],[Lvl Sortie]]-Table_BDD[[#This Row],[Lvl Entrée]])/(10),1),)),IF(AND(Table_BDD[[#This Row],[Profit]]&gt;0,Table_BDD[[#This Row],[Type]]="sell"),ROUND((Table_BDD[[#This Row],[Lvl Entrée]]-Table_BDD[[#This Row],[Lvl Sortie]])/(Table_BDD[[#This Row],[S / L]]-Table_BDD[[#This Row],[Lvl Entrée]]),1),IF(AND(Table_BDD[[#This Row],[Profit]]&gt;0,Table_BDD[[#This Row],[Type]]="buy"),ROUND((Table_BDD[[#This Row],[Lvl Sortie]]-Table_BDD[[#This Row],[Lvl Entrée]])/(Table_BDD[[#This Row],[Lvl Entrée]]-Table_BDD[[#This Row],[S / L]]),1),ROUND(Table_BDD[[#This Row],[Points]]/10,1)))))</f>
        <v>5.2</v>
      </c>
      <c r="AA8" s="32">
        <f>IF(Table_BDD[[#This Row],[Position]]="",AA7,Table_BDD[[#This Row],[Equité après trade]]-Table_BDD[[#This Row],[Profit]]-Table_BDD[[#This Row],[Echange]])</f>
        <v>986.62</v>
      </c>
      <c r="AB8" s="149">
        <f>$B$1+SUM($L$4:M8)</f>
        <v>1010.03</v>
      </c>
      <c r="AC8" s="150">
        <f>IF(Table_BDD[[#This Row],[Position]]="","",_xlfn.MINIFS(Table_BDD[Horodatage ouverture],Table_BDD[Date],Table_BDD[Date]))</f>
        <v>43864.403865740744</v>
      </c>
      <c r="AD8" s="149">
        <f>VLOOKUP(_xlfn.MINIFS(Table_BDD[Horodatage ouverture],Table_BDD[Date],Table_BDD[Date]),Table_BDD[[Horodatage ouverture]:[Heure derniere valeur]],AA$2)</f>
        <v>1000</v>
      </c>
      <c r="AE8" s="149">
        <f>IF(VLOOKUP(_xlfn.MINIFS(Table_BDD[Horodatage ouverture],Table_BDD[Date],Table_BDD[Date]),Table_BDD[[Horodatage ouverture]:[Heure derniere valeur]],AA$2)=Table_BDD[[#This Row],[Equité avant trade]],VLOOKUP(_xlfn.MINIFS(Table_BDD[Horodatage ouverture],Table_BDD[Date],Table_BDD[Date]),Table_BDD[[Horodatage ouverture]:[Heure derniere valeur]],AA$2),0)</f>
        <v>0</v>
      </c>
      <c r="AF8" s="150">
        <f>IF(Table_BDD[[#This Row],[Position]]="","",_xlfn.MAXIFS(Table_BDD[Horodatage ouverture],Table_BDD[Date],Table_BDD[Date]))</f>
        <v>43864.672789351855</v>
      </c>
      <c r="AG8" s="32">
        <f>VLOOKUP(_xlfn.MAXIFS(Table_BDD[Horodatage cloture],Table_BDD[Date],Table_BDD[Date]),Table_BDD[[Horodatage ouverture]:[Heure derniere valeur]],AB$2)</f>
        <v>1010.03</v>
      </c>
      <c r="AH8" s="32">
        <f>IF(VLOOKUP(_xlfn.MAXIFS(Table_BDD[Horodatage cloture],Table_BDD[Date],Table_BDD[Date]),Table_BDD[[Horodatage ouverture]:[Heure derniere valeur]],AB$2)=Table_BDD[[#This Row],[Equité après trade]],VLOOKUP(_xlfn.MAXIFS(Table_BDD[Horodatage cloture],Table_BDD[Date],Table_BDD[Date]),Table_BDD[[Horodatage ouverture]:[Heure derniere valeur]],AB$2),0)</f>
        <v>1010.03</v>
      </c>
      <c r="AI8" s="32">
        <f>IF(Table_BDD[[#This Row],[Valeur fin de journée unique]]=0,#N/A,Table_BDD[[#This Row],[Valeur fin de journée unique]])</f>
        <v>1010.03</v>
      </c>
      <c r="AJ8" s="35">
        <f>IF(Table_BDD[[#This Row],[Position]]="","",(Table_BDD[[#This Row],[Equité après trade]]-Table_BDD[[#This Row],[Equité avant trade]])/Table_BDD[[#This Row],[Equité avant trade]])</f>
        <v>2.3727473596724138E-2</v>
      </c>
      <c r="AK8" s="35" t="str">
        <f>IFERROR(((INDEX(Table_BDD[[Trade n°]:[Valeur fin de journée unique]],Table_BDD[[#This Row],[Nb de trade du jour]]+Table_BDD[[#This Row],[Trade n°]]-1,21))-Table_BDD[[#This Row],[Valeur début de journée unique]])/Table_BDD[[#This Row],[Valeur début de journée unique]],"")</f>
        <v/>
      </c>
      <c r="AL8" s="32">
        <f>IF(Table_BDD[[#This Row],[Position]]="","",MAX(Table_BDD[[#This Row],[Cumul équité]],AL7))</f>
        <v>1010.03</v>
      </c>
      <c r="AM8" s="32">
        <f>IF(Table_BDD[[#This Row],[Position]]="","",MIN(Table_BDD[[#This Row],[Cumul équité]],AL7))</f>
        <v>1000.42</v>
      </c>
      <c r="AN8" s="97" t="str">
        <f>IF(Table_BDD[[#This Row],[Sommet Drawdown]]&gt;AL7,"",Table_BDD[[#This Row],[Creux Drawdown]]/Table_BDD[[#This Row],[Sommet Drawdown]]-1)</f>
        <v/>
      </c>
      <c r="AO8" s="36">
        <f>IF(Table_BDD[[#This Row],[Position]]="","",IF(Table_BDD[[#This Row],[Type]]="buy",ROUND(Table_BDD[[#This Row],[Lvl Sortie]]-Table_BDD[[#This Row],[Lvl Entrée]],1),ROUND(Table_BDD[[#This Row],[Lvl Entrée]]-Table_BDD[[#This Row],[Lvl Sortie]],1)))</f>
        <v>51.7</v>
      </c>
      <c r="AP8" s="36">
        <f>IF(Table_BDD[[#This Row],[Points]]&gt;0,Table_BDD[[#This Row],[Points]],"")</f>
        <v>51.7</v>
      </c>
      <c r="AQ8" s="36" t="str">
        <f>IF(Table_BDD[[#This Row],[Points]]&lt;0,Table_BDD[[#This Row],[Points]],"")</f>
        <v/>
      </c>
      <c r="AR8" s="36">
        <f>SUM($AO$4:AO8)</f>
        <v>22.1</v>
      </c>
      <c r="AS8" s="68">
        <f>IF(Table_BDD[[#This Row],[Position]]="","",IF(Table_BDD[[#This Row],[Conformité]]="Conforme",1,0))</f>
        <v>0</v>
      </c>
      <c r="AT8" s="68">
        <f>IF(Table_BDD[[#This Row],[Position]]="","",IF(Table_BDD[[#This Row],[Conformité]]="Non conforme",1,0))</f>
        <v>1</v>
      </c>
      <c r="AU8" s="37" t="s">
        <v>17</v>
      </c>
      <c r="AV8" s="37"/>
      <c r="AW8" s="37"/>
      <c r="AX8" s="37">
        <v>0</v>
      </c>
      <c r="AY8" s="37">
        <v>0</v>
      </c>
      <c r="AZ8" s="37">
        <v>0</v>
      </c>
      <c r="BA8" s="37" t="str">
        <f>IF(Table_BDD[[#This Row],[Position]]="","Sans objet",IF(AND(Table_BDD[[#This Row],[Type]]="sell",Table_BDD[[#This Row],[S / L]]&lt;Table_BDD[[#This Row],[Lvl Entrée]],Table_BDD[[#This Row],[Lvl Sortie]]&lt;=Table_BDD[[#This Row],[S / L]]+2,Table_BDD[[#This Row],[Lvl Sortie]]&lt;Table_BDD[[#This Row],[Lvl Entrée]]-19),"Oui",IF(AND(Table_BDD[[#This Row],[Type]]="buy",Table_BDD[[#This Row],[S / L]]&gt;Table_BDD[[#This Row],[Lvl Entrée]],Table_BDD[[#This Row],[Lvl Sortie]]&gt;=Table_BDD[[#This Row],[S / L]]-2,Table_BDD[[#This Row],[S / L]]&gt;Table_BDD[[#This Row],[Lvl Entrée]]+19),"Oui","Non")))</f>
        <v>Non</v>
      </c>
      <c r="BB8" s="37" t="str">
        <f>IF(Table_BDD[[#This Row],[Position]]="","Sans objet",IF(AND(Table_BDD[[#This Row],[Type]]="sell",Table_BDD[[#This Row],[S / L]]&lt;Table_BDD[[#This Row],[Lvl Entrée]],Table_BDD[[#This Row],[Points]]&gt;=-1),"Oui",IF(AND(Table_BDD[[#This Row],[Type]]="sell",Table_BDD[[#This Row],[S / L]]&gt;Table_BDD[[#This Row],[Lvl Entrée]]),"Non",IF(AND(Table_BDD[[#This Row],[Type]]="buy",Table_BDD[[#This Row],[S / L]]&lt;Table_BDD[[#This Row],[Lvl Entrée]]),"Non",IF(AND(Table_BDD[[#This Row],[Type]]="buy",Table_BDD[[#This Row],[S / L]]&gt;Table_BDD[[#This Row],[Lvl Entrée]],Table_BDD[[#This Row],[Points]]&gt;=-1),"Oui")))))</f>
        <v>Oui</v>
      </c>
      <c r="BC8" s="37" t="str">
        <f>IF(Table_BDD[[#This Row],[Position]]="","Sans objet",IF(Table_BDD[[#This Row],[T / P]]="","Non",IF(AND(Table_BDD[[#This Row],[Type]]="sell",Table_BDD[[#This Row],[Lvl Sortie]]&lt;=Table_BDD[[#This Row],[T / P]]),"Oui",IF(AND(Table_BDD[[#This Row],[Type]]="buy",Table_BDD[[#This Row],[Lvl Sortie]]&gt;=Table_BDD[[#This Row],[T / P]]),"Oui","Non"))))</f>
        <v>Non</v>
      </c>
      <c r="BD8" s="91">
        <f t="array" ref="BD8">IFERROR(INDEX(downloadFile[#All],MATCH(Table_BDD[[#This Row],[Date]],downloadFile[[#All],[Column1]],0),2),BD7)</f>
        <v>1.1066</v>
      </c>
      <c r="BE8" s="89">
        <f>IF(Table_BDD[[#This Row],[Position]]="","",IF(Table_BDD[[#This Row],[Symbole]]="UsaInd",(Table_BDD[[#This Row],[Volume]]*Table_BDD[[#This Row],[Lvl Entrée]])/(Table_BDD[[#This Row],[Equité avant trade]]*Table_BDD[[#This Row],[EUR/USD]]),IF(Table_BDD[[#This Row],[Symbole]]="Ger30",(Table_BDD[[#This Row],[Volume]]*Table_BDD[[#This Row],[Lvl Entrée]])/Table_BDD[[#This Row],[Equité avant trade]],)))</f>
        <v>13.079449079652678</v>
      </c>
      <c r="BF8" s="38">
        <f>IF(Table_BDD[[#This Row],[Position]]="","",IF(Table_BDD[[#This Row],[Conformité]]="Non conforme",0,(MROUND(3*((Table_BDD[[#This Row],[Conviction]]+Table_BDD[[#This Row],[Timing]]+Table_BDD[[#This Row],[Sortie]])+1)-2,1))))</f>
        <v>0</v>
      </c>
      <c r="BG8" s="38" t="str">
        <f>IF(Table_BDD[[#This Row],[Position]]="","",IF(Table_BDD[[#This Row],[Points]]&lt;-5,"--",IF(AND(Table_BDD[[#This Row],[Points]]&gt;=-5,Table_BDD[[#This Row],[Points]]&lt;-1.5),"-",IF(AND(Table_BDD[[#This Row],[Points]]&gt;=-1.5,Table_BDD[[#This Row],[Points]]&lt;1.5),"0",IF(AND(Table_BDD[[#This Row],[Points]]&gt;=1.5,Table_BDD[[#This Row],[Points]]&lt;=70),"+",IF(Table_BDD[[#This Row],[Points]]&gt;70,"++"))))))</f>
        <v>+</v>
      </c>
      <c r="BH8" s="37" t="str">
        <f>IF(Table_BDD[[#This Row],[Position]]="","",IF(Table_BDD[[#This Row],[Points]]&gt;0,"Gagnant",IF(Table_BDD[[#This Row],[Points]]=0,"Flat","Perdant")))</f>
        <v>Gagnant</v>
      </c>
      <c r="BI8" s="40">
        <f>IF(Table_BDD[[#This Row],[Position]]="","",IF(Table_BDD[[#This Row],[Résultat]]="Gagnant",1,0))</f>
        <v>1</v>
      </c>
      <c r="BJ8" s="40">
        <f>IF(Table_BDD[[#This Row],[Position]]="","",IF(Table_BDD[[#This Row],[Résultat]]="Perdant",1,0))</f>
        <v>0</v>
      </c>
      <c r="BK8" s="40"/>
      <c r="BL8" s="145">
        <f>IF(Table_BDD[[#This Row],[T / P]]="","",Table_BDD[[#This Row],[T / P]])</f>
        <v>28630.12</v>
      </c>
      <c r="BM8" s="147"/>
      <c r="BN8" s="147"/>
      <c r="BO8" s="147"/>
      <c r="BP8" s="147"/>
      <c r="BQ8" s="127"/>
    </row>
    <row r="9" spans="1:69" x14ac:dyDescent="0.2">
      <c r="A9" s="93">
        <v>43865.645729166667</v>
      </c>
      <c r="B9" s="94">
        <v>259440349</v>
      </c>
      <c r="C9" s="37" t="s">
        <v>8</v>
      </c>
      <c r="D9" s="37" t="s">
        <v>9</v>
      </c>
      <c r="E9" s="37">
        <v>0.5</v>
      </c>
      <c r="F9" s="95">
        <v>28776.639999999999</v>
      </c>
      <c r="G9" s="95">
        <v>28778.14</v>
      </c>
      <c r="H9" s="95">
        <v>28803.59</v>
      </c>
      <c r="I9" s="28">
        <v>43865.646284722221</v>
      </c>
      <c r="J9" s="95">
        <v>28797.42</v>
      </c>
      <c r="K9" s="95">
        <v>0</v>
      </c>
      <c r="L9" s="95">
        <v>0</v>
      </c>
      <c r="M9" s="32">
        <v>9.41</v>
      </c>
      <c r="N9" s="148">
        <f>IF(Table_BDD[[#This Row],[Position]]="","",ROW()-3)</f>
        <v>6</v>
      </c>
      <c r="O9" s="32">
        <f>SUM($L$4:M9)</f>
        <v>19.440000000000001</v>
      </c>
      <c r="P9" s="32">
        <f>Table_BDD[[#This Row],[Equité avant trade]]+Table_BDD[[#This Row],[Profit]]+Table_BDD[[#This Row],[Echange]]</f>
        <v>1019.44</v>
      </c>
      <c r="Q9" s="52">
        <f>INT(Table_BDD[[#This Row],[Horodatage cloture]])</f>
        <v>43865</v>
      </c>
      <c r="R9" s="34">
        <f>WEEKNUM(Table_BDD[[#This Row],[Horodatage cloture]],2)</f>
        <v>6</v>
      </c>
      <c r="S9" s="61">
        <f>WEEKDAY(Table_BDD[[#This Row],[Horodatage cloture]])</f>
        <v>3</v>
      </c>
      <c r="T9" s="63">
        <f>HOUR(Table_BDD[[#This Row],[Horodatage cloture]])</f>
        <v>15</v>
      </c>
      <c r="U9" s="68">
        <f>IF(Table_BDD[[#This Row],[Position]]="","",IF(Table_BDD[[#This Row],[Valeur début de journée unique]]&lt;&gt;0,1,0))</f>
        <v>1</v>
      </c>
      <c r="V9" s="68">
        <f>IF(Table_BDD[[#This Row],[Nb de séance de trading]]=1,COUNTIF(Table_BDD[Date],Table_BDD[[#This Row],[Date]]),"")</f>
        <v>19</v>
      </c>
      <c r="W9" s="33">
        <f>IF(Table_BDD[[#This Row],[Position]]="","",IF(Table_BDD[[#This Row],[Type]]="buy",ROUND(Table_BDD[[#This Row],[Lvl Entrée]]-Table_BDD[[#This Row],[S / L]],1),ROUND(Table_BDD[[#This Row],[S / L]]-Table_BDD[[#This Row],[Lvl Entrée]],1)))</f>
        <v>-1.5</v>
      </c>
      <c r="X9" s="33">
        <f>IF(Table_BDD[[#This Row],[Position]]="","",IF(Table_BDD[[#This Row],[T / P]]=0,200,IF(Table_BDD[[#This Row],[Type]]="buy",ROUND(Table_BDD[[#This Row],[T / P]]-Table_BDD[[#This Row],[Lvl Entrée]],1),ROUND(Table_BDD[[#This Row],[Lvl Entrée]]-Table_BDD[[#This Row],[T / P]],1))))</f>
        <v>27</v>
      </c>
      <c r="Y9" s="34">
        <f>IF(Table_BDD[[#This Row],[Position]]="","",IF(Table_BDD[[#This Row],[Ecart du SL]]&gt;0,ROUND(ABS(Table_BDD[[#This Row],[Ecart du TP]])/ABS(Table_BDD[[#This Row],[Ecart du SL]]),1),ROUND(ABS(Table_BDD[[#This Row],[Ecart du TP]])/10,1)))</f>
        <v>2.7</v>
      </c>
      <c r="Z9" s="34">
        <f>IF(Table_BDD[[#This Row],[Position]]="","",IF(Table_BDD[[#This Row],[Ecart du SL]]&lt;0,IF(AND(Table_BDD[[#This Row],[Profit]]&gt;0,Table_BDD[[#This Row],[Type]]="sell"),ROUND((Table_BDD[[#This Row],[Lvl Entrée]]-Table_BDD[[#This Row],[Lvl Sortie]])/(10),1),IF(AND(Table_BDD[[#This Row],[Profit]]&gt;0,Table_BDD[[#This Row],[Type]]="buy"),ROUND((Table_BDD[[#This Row],[Lvl Sortie]]-Table_BDD[[#This Row],[Lvl Entrée]])/(10),1),)),IF(AND(Table_BDD[[#This Row],[Profit]]&gt;0,Table_BDD[[#This Row],[Type]]="sell"),ROUND((Table_BDD[[#This Row],[Lvl Entrée]]-Table_BDD[[#This Row],[Lvl Sortie]])/(Table_BDD[[#This Row],[S / L]]-Table_BDD[[#This Row],[Lvl Entrée]]),1),IF(AND(Table_BDD[[#This Row],[Profit]]&gt;0,Table_BDD[[#This Row],[Type]]="buy"),ROUND((Table_BDD[[#This Row],[Lvl Sortie]]-Table_BDD[[#This Row],[Lvl Entrée]])/(Table_BDD[[#This Row],[Lvl Entrée]]-Table_BDD[[#This Row],[S / L]]),1),ROUND(Table_BDD[[#This Row],[Points]]/10,1)))))</f>
        <v>2.1</v>
      </c>
      <c r="AA9" s="32">
        <f>IF(Table_BDD[[#This Row],[Position]]="",AA8,Table_BDD[[#This Row],[Equité après trade]]-Table_BDD[[#This Row],[Profit]]-Table_BDD[[#This Row],[Echange]])</f>
        <v>1010.0300000000001</v>
      </c>
      <c r="AB9" s="149">
        <f>$B$1+SUM($L$4:M9)</f>
        <v>1019.44</v>
      </c>
      <c r="AC9" s="150">
        <f>IF(Table_BDD[[#This Row],[Position]]="","",_xlfn.MINIFS(Table_BDD[Horodatage ouverture],Table_BDD[Date],Table_BDD[Date]))</f>
        <v>43865.645729166667</v>
      </c>
      <c r="AD9" s="149">
        <f>VLOOKUP(_xlfn.MINIFS(Table_BDD[Horodatage ouverture],Table_BDD[Date],Table_BDD[Date]),Table_BDD[[Horodatage ouverture]:[Heure derniere valeur]],AA$2)</f>
        <v>1010.0300000000001</v>
      </c>
      <c r="AE9" s="149">
        <f>IF(VLOOKUP(_xlfn.MINIFS(Table_BDD[Horodatage ouverture],Table_BDD[Date],Table_BDD[Date]),Table_BDD[[Horodatage ouverture]:[Heure derniere valeur]],AA$2)=Table_BDD[[#This Row],[Equité avant trade]],VLOOKUP(_xlfn.MINIFS(Table_BDD[Horodatage ouverture],Table_BDD[Date],Table_BDD[Date]),Table_BDD[[Horodatage ouverture]:[Heure derniere valeur]],AA$2),0)</f>
        <v>1010.0300000000001</v>
      </c>
      <c r="AF9" s="150">
        <f>IF(Table_BDD[[#This Row],[Position]]="","",_xlfn.MAXIFS(Table_BDD[Horodatage ouverture],Table_BDD[Date],Table_BDD[Date]))</f>
        <v>43865.841574074075</v>
      </c>
      <c r="AG9" s="32">
        <f>VLOOKUP(_xlfn.MAXIFS(Table_BDD[Horodatage cloture],Table_BDD[Date],Table_BDD[Date]),Table_BDD[[Horodatage ouverture]:[Heure derniere valeur]],AB$2)</f>
        <v>1011.88</v>
      </c>
      <c r="AH9" s="32">
        <f>IF(VLOOKUP(_xlfn.MAXIFS(Table_BDD[Horodatage cloture],Table_BDD[Date],Table_BDD[Date]),Table_BDD[[Horodatage ouverture]:[Heure derniere valeur]],AB$2)=Table_BDD[[#This Row],[Equité après trade]],VLOOKUP(_xlfn.MAXIFS(Table_BDD[Horodatage cloture],Table_BDD[Date],Table_BDD[Date]),Table_BDD[[Horodatage ouverture]:[Heure derniere valeur]],AB$2),0)</f>
        <v>0</v>
      </c>
      <c r="AI9" s="32" t="e">
        <f>IF(Table_BDD[[#This Row],[Valeur fin de journée unique]]=0,#N/A,Table_BDD[[#This Row],[Valeur fin de journée unique]])</f>
        <v>#N/A</v>
      </c>
      <c r="AJ9" s="35">
        <f>IF(Table_BDD[[#This Row],[Position]]="","",(Table_BDD[[#This Row],[Equité après trade]]-Table_BDD[[#This Row],[Equité avant trade]])/Table_BDD[[#This Row],[Equité avant trade]])</f>
        <v>9.3165549538132206E-3</v>
      </c>
      <c r="AK9" s="35">
        <f>IFERROR(((INDEX(Table_BDD[[Trade n°]:[Valeur fin de journée unique]],Table_BDD[[#This Row],[Nb de trade du jour]]+Table_BDD[[#This Row],[Trade n°]]-1,21))-Table_BDD[[#This Row],[Valeur début de journée unique]])/Table_BDD[[#This Row],[Valeur début de journée unique]],"")</f>
        <v>1.8316287635019839E-3</v>
      </c>
      <c r="AL9" s="32">
        <f>IF(Table_BDD[[#This Row],[Position]]="","",MAX(Table_BDD[[#This Row],[Cumul équité]],AL8))</f>
        <v>1019.44</v>
      </c>
      <c r="AM9" s="32">
        <f>IF(Table_BDD[[#This Row],[Position]]="","",MIN(Table_BDD[[#This Row],[Cumul équité]],AL8))</f>
        <v>1010.03</v>
      </c>
      <c r="AN9" s="97" t="str">
        <f>IF(Table_BDD[[#This Row],[Sommet Drawdown]]&gt;AL8,"",Table_BDD[[#This Row],[Creux Drawdown]]/Table_BDD[[#This Row],[Sommet Drawdown]]-1)</f>
        <v/>
      </c>
      <c r="AO9" s="36">
        <f>IF(Table_BDD[[#This Row],[Position]]="","",IF(Table_BDD[[#This Row],[Type]]="buy",ROUND(Table_BDD[[#This Row],[Lvl Sortie]]-Table_BDD[[#This Row],[Lvl Entrée]],1),ROUND(Table_BDD[[#This Row],[Lvl Entrée]]-Table_BDD[[#This Row],[Lvl Sortie]],1)))</f>
        <v>20.8</v>
      </c>
      <c r="AP9" s="36">
        <f>IF(Table_BDD[[#This Row],[Points]]&gt;0,Table_BDD[[#This Row],[Points]],"")</f>
        <v>20.8</v>
      </c>
      <c r="AQ9" s="36" t="str">
        <f>IF(Table_BDD[[#This Row],[Points]]&lt;0,Table_BDD[[#This Row],[Points]],"")</f>
        <v/>
      </c>
      <c r="AR9" s="36">
        <f>SUM($AO$4:AO9)</f>
        <v>42.900000000000006</v>
      </c>
      <c r="AS9" s="68">
        <f>IF(Table_BDD[[#This Row],[Position]]="","",IF(Table_BDD[[#This Row],[Conformité]]="Conforme",1,0))</f>
        <v>0</v>
      </c>
      <c r="AT9" s="68">
        <f>IF(Table_BDD[[#This Row],[Position]]="","",IF(Table_BDD[[#This Row],[Conformité]]="Non conforme",1,0))</f>
        <v>1</v>
      </c>
      <c r="AU9" s="37" t="s">
        <v>17</v>
      </c>
      <c r="AV9" s="37"/>
      <c r="AW9" s="37"/>
      <c r="AX9" s="37">
        <v>0</v>
      </c>
      <c r="AY9" s="37">
        <v>0</v>
      </c>
      <c r="AZ9" s="37">
        <v>0</v>
      </c>
      <c r="BA9" s="37" t="str">
        <f>IF(Table_BDD[[#This Row],[Position]]="","Sans objet",IF(AND(Table_BDD[[#This Row],[Type]]="sell",Table_BDD[[#This Row],[S / L]]&lt;Table_BDD[[#This Row],[Lvl Entrée]],Table_BDD[[#This Row],[Lvl Sortie]]&lt;=Table_BDD[[#This Row],[S / L]]+2,Table_BDD[[#This Row],[Lvl Sortie]]&lt;Table_BDD[[#This Row],[Lvl Entrée]]-19),"Oui",IF(AND(Table_BDD[[#This Row],[Type]]="buy",Table_BDD[[#This Row],[S / L]]&gt;Table_BDD[[#This Row],[Lvl Entrée]],Table_BDD[[#This Row],[Lvl Sortie]]&gt;=Table_BDD[[#This Row],[S / L]]-2,Table_BDD[[#This Row],[S / L]]&gt;Table_BDD[[#This Row],[Lvl Entrée]]+19),"Oui","Non")))</f>
        <v>Non</v>
      </c>
      <c r="BB9" s="37" t="str">
        <f>IF(Table_BDD[[#This Row],[Position]]="","Sans objet",IF(AND(Table_BDD[[#This Row],[Type]]="sell",Table_BDD[[#This Row],[S / L]]&lt;Table_BDD[[#This Row],[Lvl Entrée]],Table_BDD[[#This Row],[Points]]&gt;=-1),"Oui",IF(AND(Table_BDD[[#This Row],[Type]]="sell",Table_BDD[[#This Row],[S / L]]&gt;Table_BDD[[#This Row],[Lvl Entrée]]),"Non",IF(AND(Table_BDD[[#This Row],[Type]]="buy",Table_BDD[[#This Row],[S / L]]&lt;Table_BDD[[#This Row],[Lvl Entrée]]),"Non",IF(AND(Table_BDD[[#This Row],[Type]]="buy",Table_BDD[[#This Row],[S / L]]&gt;Table_BDD[[#This Row],[Lvl Entrée]],Table_BDD[[#This Row],[Points]]&gt;=-1),"Oui")))))</f>
        <v>Oui</v>
      </c>
      <c r="BC9" s="37" t="str">
        <f>IF(Table_BDD[[#This Row],[Position]]="","Sans objet",IF(Table_BDD[[#This Row],[T / P]]="","Non",IF(AND(Table_BDD[[#This Row],[Type]]="sell",Table_BDD[[#This Row],[Lvl Sortie]]&lt;=Table_BDD[[#This Row],[T / P]]),"Oui",IF(AND(Table_BDD[[#This Row],[Type]]="buy",Table_BDD[[#This Row],[Lvl Sortie]]&gt;=Table_BDD[[#This Row],[T / P]]),"Oui","Non"))))</f>
        <v>Non</v>
      </c>
      <c r="BD9" s="91">
        <f t="array" ref="BD9">IFERROR(INDEX(downloadFile[#All],MATCH(Table_BDD[[#This Row],[Date]],downloadFile[[#All],[Column1]],0),2),BD8)</f>
        <v>1.1048</v>
      </c>
      <c r="BE9" s="89">
        <f>IF(Table_BDD[[#This Row],[Position]]="","",IF(Table_BDD[[#This Row],[Symbole]]="UsaInd",(Table_BDD[[#This Row],[Volume]]*Table_BDD[[#This Row],[Lvl Entrée]])/(Table_BDD[[#This Row],[Equité avant trade]]*Table_BDD[[#This Row],[EUR/USD]]),IF(Table_BDD[[#This Row],[Symbole]]="Ger30",(Table_BDD[[#This Row],[Volume]]*Table_BDD[[#This Row],[Lvl Entrée]])/Table_BDD[[#This Row],[Equité avant trade]],)))</f>
        <v>12.89413310491426</v>
      </c>
      <c r="BF9" s="38">
        <f>IF(Table_BDD[[#This Row],[Position]]="","",IF(Table_BDD[[#This Row],[Conformité]]="Non conforme",0,(MROUND(3*((Table_BDD[[#This Row],[Conviction]]+Table_BDD[[#This Row],[Timing]]+Table_BDD[[#This Row],[Sortie]])+1)-2,1))))</f>
        <v>0</v>
      </c>
      <c r="BG9" s="38" t="str">
        <f>IF(Table_BDD[[#This Row],[Position]]="","",IF(Table_BDD[[#This Row],[Points]]&lt;-5,"--",IF(AND(Table_BDD[[#This Row],[Points]]&gt;=-5,Table_BDD[[#This Row],[Points]]&lt;-1.5),"-",IF(AND(Table_BDD[[#This Row],[Points]]&gt;=-1.5,Table_BDD[[#This Row],[Points]]&lt;1.5),"0",IF(AND(Table_BDD[[#This Row],[Points]]&gt;=1.5,Table_BDD[[#This Row],[Points]]&lt;=70),"+",IF(Table_BDD[[#This Row],[Points]]&gt;70,"++"))))))</f>
        <v>+</v>
      </c>
      <c r="BH9" s="37" t="str">
        <f>IF(Table_BDD[[#This Row],[Position]]="","",IF(Table_BDD[[#This Row],[Points]]&gt;0,"Gagnant",IF(Table_BDD[[#This Row],[Points]]=0,"Flat","Perdant")))</f>
        <v>Gagnant</v>
      </c>
      <c r="BI9" s="40">
        <f>IF(Table_BDD[[#This Row],[Position]]="","",IF(Table_BDD[[#This Row],[Résultat]]="Gagnant",1,0))</f>
        <v>1</v>
      </c>
      <c r="BJ9" s="40">
        <f>IF(Table_BDD[[#This Row],[Position]]="","",IF(Table_BDD[[#This Row],[Résultat]]="Perdant",1,0))</f>
        <v>0</v>
      </c>
      <c r="BK9" s="40"/>
      <c r="BL9" s="145">
        <f>IF(Table_BDD[[#This Row],[T / P]]="","",Table_BDD[[#This Row],[T / P]])</f>
        <v>28803.59</v>
      </c>
      <c r="BM9" s="147"/>
      <c r="BN9" s="147"/>
      <c r="BO9" s="147"/>
      <c r="BP9" s="147"/>
      <c r="BQ9" s="127"/>
    </row>
    <row r="10" spans="1:69" x14ac:dyDescent="0.2">
      <c r="A10" s="93">
        <v>43865.650057870371</v>
      </c>
      <c r="B10" s="94">
        <v>259441799</v>
      </c>
      <c r="C10" s="37" t="s">
        <v>8</v>
      </c>
      <c r="D10" s="37" t="s">
        <v>9</v>
      </c>
      <c r="E10" s="37">
        <v>0.5</v>
      </c>
      <c r="F10" s="95">
        <v>28808.58</v>
      </c>
      <c r="G10" s="95">
        <v>28798.58</v>
      </c>
      <c r="H10" s="95"/>
      <c r="I10" s="28">
        <v>43865.650092592594</v>
      </c>
      <c r="J10" s="95">
        <v>28798.5</v>
      </c>
      <c r="K10" s="95">
        <v>0</v>
      </c>
      <c r="L10" s="95">
        <v>0</v>
      </c>
      <c r="M10" s="32">
        <v>-4.5599999999999996</v>
      </c>
      <c r="N10" s="148">
        <f>IF(Table_BDD[[#This Row],[Position]]="","",ROW()-3)</f>
        <v>7</v>
      </c>
      <c r="O10" s="32">
        <f>SUM($L$4:M10)</f>
        <v>14.880000000000003</v>
      </c>
      <c r="P10" s="32">
        <f>Table_BDD[[#This Row],[Equité avant trade]]+Table_BDD[[#This Row],[Profit]]+Table_BDD[[#This Row],[Echange]]</f>
        <v>1014.88</v>
      </c>
      <c r="Q10" s="52">
        <f>INT(Table_BDD[[#This Row],[Horodatage cloture]])</f>
        <v>43865</v>
      </c>
      <c r="R10" s="34">
        <f>WEEKNUM(Table_BDD[[#This Row],[Horodatage cloture]],2)</f>
        <v>6</v>
      </c>
      <c r="S10" s="61">
        <f>WEEKDAY(Table_BDD[[#This Row],[Horodatage cloture]])</f>
        <v>3</v>
      </c>
      <c r="T10" s="63">
        <f>HOUR(Table_BDD[[#This Row],[Horodatage cloture]])</f>
        <v>15</v>
      </c>
      <c r="U10" s="68">
        <f>IF(Table_BDD[[#This Row],[Position]]="","",IF(Table_BDD[[#This Row],[Valeur début de journée unique]]&lt;&gt;0,1,0))</f>
        <v>0</v>
      </c>
      <c r="V10" s="68" t="str">
        <f>IF(Table_BDD[[#This Row],[Nb de séance de trading]]=1,COUNTIF(Table_BDD[Date],Table_BDD[[#This Row],[Date]]),"")</f>
        <v/>
      </c>
      <c r="W10" s="33">
        <f>IF(Table_BDD[[#This Row],[Position]]="","",IF(Table_BDD[[#This Row],[Type]]="buy",ROUND(Table_BDD[[#This Row],[Lvl Entrée]]-Table_BDD[[#This Row],[S / L]],1),ROUND(Table_BDD[[#This Row],[S / L]]-Table_BDD[[#This Row],[Lvl Entrée]],1)))</f>
        <v>10</v>
      </c>
      <c r="X10" s="33">
        <f>IF(Table_BDD[[#This Row],[Position]]="","",IF(Table_BDD[[#This Row],[T / P]]=0,200,IF(Table_BDD[[#This Row],[Type]]="buy",ROUND(Table_BDD[[#This Row],[T / P]]-Table_BDD[[#This Row],[Lvl Entrée]],1),ROUND(Table_BDD[[#This Row],[Lvl Entrée]]-Table_BDD[[#This Row],[T / P]],1))))</f>
        <v>200</v>
      </c>
      <c r="Y10" s="34">
        <f>IF(Table_BDD[[#This Row],[Position]]="","",IF(Table_BDD[[#This Row],[Ecart du SL]]&gt;0,ROUND(ABS(Table_BDD[[#This Row],[Ecart du TP]])/ABS(Table_BDD[[#This Row],[Ecart du SL]]),1),ROUND(ABS(Table_BDD[[#This Row],[Ecart du TP]])/10,1)))</f>
        <v>20</v>
      </c>
      <c r="Z10" s="34">
        <f>IF(Table_BDD[[#This Row],[Position]]="","",IF(Table_BDD[[#This Row],[Ecart du SL]]&lt;0,IF(AND(Table_BDD[[#This Row],[Profit]]&gt;0,Table_BDD[[#This Row],[Type]]="sell"),ROUND((Table_BDD[[#This Row],[Lvl Entrée]]-Table_BDD[[#This Row],[Lvl Sortie]])/(10),1),IF(AND(Table_BDD[[#This Row],[Profit]]&gt;0,Table_BDD[[#This Row],[Type]]="buy"),ROUND((Table_BDD[[#This Row],[Lvl Sortie]]-Table_BDD[[#This Row],[Lvl Entrée]])/(10),1),)),IF(AND(Table_BDD[[#This Row],[Profit]]&gt;0,Table_BDD[[#This Row],[Type]]="sell"),ROUND((Table_BDD[[#This Row],[Lvl Entrée]]-Table_BDD[[#This Row],[Lvl Sortie]])/(Table_BDD[[#This Row],[S / L]]-Table_BDD[[#This Row],[Lvl Entrée]]),1),IF(AND(Table_BDD[[#This Row],[Profit]]&gt;0,Table_BDD[[#This Row],[Type]]="buy"),ROUND((Table_BDD[[#This Row],[Lvl Sortie]]-Table_BDD[[#This Row],[Lvl Entrée]])/(Table_BDD[[#This Row],[Lvl Entrée]]-Table_BDD[[#This Row],[S / L]]),1),ROUND(Table_BDD[[#This Row],[Points]]/10,1)))))</f>
        <v>-1</v>
      </c>
      <c r="AA10" s="32">
        <f>IF(Table_BDD[[#This Row],[Position]]="",AA9,Table_BDD[[#This Row],[Equité après trade]]-Table_BDD[[#This Row],[Profit]]-Table_BDD[[#This Row],[Echange]])</f>
        <v>1019.4399999999999</v>
      </c>
      <c r="AB10" s="149">
        <f>$B$1+SUM($L$4:M10)</f>
        <v>1014.88</v>
      </c>
      <c r="AC10" s="150">
        <f>IF(Table_BDD[[#This Row],[Position]]="","",_xlfn.MINIFS(Table_BDD[Horodatage ouverture],Table_BDD[Date],Table_BDD[Date]))</f>
        <v>43865.645729166667</v>
      </c>
      <c r="AD10" s="149">
        <f>VLOOKUP(_xlfn.MINIFS(Table_BDD[Horodatage ouverture],Table_BDD[Date],Table_BDD[Date]),Table_BDD[[Horodatage ouverture]:[Heure derniere valeur]],AA$2)</f>
        <v>1010.0300000000001</v>
      </c>
      <c r="AE10" s="149">
        <f>IF(VLOOKUP(_xlfn.MINIFS(Table_BDD[Horodatage ouverture],Table_BDD[Date],Table_BDD[Date]),Table_BDD[[Horodatage ouverture]:[Heure derniere valeur]],AA$2)=Table_BDD[[#This Row],[Equité avant trade]],VLOOKUP(_xlfn.MINIFS(Table_BDD[Horodatage ouverture],Table_BDD[Date],Table_BDD[Date]),Table_BDD[[Horodatage ouverture]:[Heure derniere valeur]],AA$2),0)</f>
        <v>0</v>
      </c>
      <c r="AF10" s="150">
        <f>IF(Table_BDD[[#This Row],[Position]]="","",_xlfn.MAXIFS(Table_BDD[Horodatage ouverture],Table_BDD[Date],Table_BDD[Date]))</f>
        <v>43865.841574074075</v>
      </c>
      <c r="AG10" s="32">
        <f>VLOOKUP(_xlfn.MAXIFS(Table_BDD[Horodatage cloture],Table_BDD[Date],Table_BDD[Date]),Table_BDD[[Horodatage ouverture]:[Heure derniere valeur]],AB$2)</f>
        <v>1011.88</v>
      </c>
      <c r="AH10" s="32">
        <f>IF(VLOOKUP(_xlfn.MAXIFS(Table_BDD[Horodatage cloture],Table_BDD[Date],Table_BDD[Date]),Table_BDD[[Horodatage ouverture]:[Heure derniere valeur]],AB$2)=Table_BDD[[#This Row],[Equité après trade]],VLOOKUP(_xlfn.MAXIFS(Table_BDD[Horodatage cloture],Table_BDD[Date],Table_BDD[Date]),Table_BDD[[Horodatage ouverture]:[Heure derniere valeur]],AB$2),0)</f>
        <v>0</v>
      </c>
      <c r="AI10" s="32" t="e">
        <f>IF(Table_BDD[[#This Row],[Valeur fin de journée unique]]=0,#N/A,Table_BDD[[#This Row],[Valeur fin de journée unique]])</f>
        <v>#N/A</v>
      </c>
      <c r="AJ10" s="35">
        <f>IF(Table_BDD[[#This Row],[Position]]="","",(Table_BDD[[#This Row],[Equité après trade]]-Table_BDD[[#This Row],[Equité avant trade]])/Table_BDD[[#This Row],[Equité avant trade]])</f>
        <v>-4.4730440241700789E-3</v>
      </c>
      <c r="AK10" s="35" t="str">
        <f>IFERROR(((INDEX(Table_BDD[[Trade n°]:[Valeur fin de journée unique]],Table_BDD[[#This Row],[Nb de trade du jour]]+Table_BDD[[#This Row],[Trade n°]]-1,21))-Table_BDD[[#This Row],[Valeur début de journée unique]])/Table_BDD[[#This Row],[Valeur début de journée unique]],"")</f>
        <v/>
      </c>
      <c r="AL10" s="32">
        <f>IF(Table_BDD[[#This Row],[Position]]="","",MAX(Table_BDD[[#This Row],[Cumul équité]],AL9))</f>
        <v>1019.44</v>
      </c>
      <c r="AM10" s="32">
        <f>IF(Table_BDD[[#This Row],[Position]]="","",MIN(Table_BDD[[#This Row],[Cumul équité]],AL9))</f>
        <v>1014.88</v>
      </c>
      <c r="AN10" s="97">
        <f>IF(Table_BDD[[#This Row],[Sommet Drawdown]]&gt;AL9,"",Table_BDD[[#This Row],[Creux Drawdown]]/Table_BDD[[#This Row],[Sommet Drawdown]]-1)</f>
        <v>-4.4730440241701475E-3</v>
      </c>
      <c r="AO10" s="36">
        <f>IF(Table_BDD[[#This Row],[Position]]="","",IF(Table_BDD[[#This Row],[Type]]="buy",ROUND(Table_BDD[[#This Row],[Lvl Sortie]]-Table_BDD[[#This Row],[Lvl Entrée]],1),ROUND(Table_BDD[[#This Row],[Lvl Entrée]]-Table_BDD[[#This Row],[Lvl Sortie]],1)))</f>
        <v>-10.1</v>
      </c>
      <c r="AP10" s="36" t="str">
        <f>IF(Table_BDD[[#This Row],[Points]]&gt;0,Table_BDD[[#This Row],[Points]],"")</f>
        <v/>
      </c>
      <c r="AQ10" s="36">
        <f>IF(Table_BDD[[#This Row],[Points]]&lt;0,Table_BDD[[#This Row],[Points]],"")</f>
        <v>-10.1</v>
      </c>
      <c r="AR10" s="36">
        <f>SUM($AO$4:AO10)</f>
        <v>32.800000000000004</v>
      </c>
      <c r="AS10" s="68">
        <f>IF(Table_BDD[[#This Row],[Position]]="","",IF(Table_BDD[[#This Row],[Conformité]]="Conforme",1,0))</f>
        <v>0</v>
      </c>
      <c r="AT10" s="68">
        <f>IF(Table_BDD[[#This Row],[Position]]="","",IF(Table_BDD[[#This Row],[Conformité]]="Non conforme",1,0))</f>
        <v>1</v>
      </c>
      <c r="AU10" s="37" t="s">
        <v>17</v>
      </c>
      <c r="AV10" s="37"/>
      <c r="AW10" s="37"/>
      <c r="AX10" s="37">
        <v>0</v>
      </c>
      <c r="AY10" s="37">
        <v>0</v>
      </c>
      <c r="AZ10" s="37">
        <v>0</v>
      </c>
      <c r="BA10" s="37" t="str">
        <f>IF(Table_BDD[[#This Row],[Position]]="","Sans objet",IF(AND(Table_BDD[[#This Row],[Type]]="sell",Table_BDD[[#This Row],[S / L]]&lt;Table_BDD[[#This Row],[Lvl Entrée]],Table_BDD[[#This Row],[Lvl Sortie]]&lt;=Table_BDD[[#This Row],[S / L]]+2,Table_BDD[[#This Row],[Lvl Sortie]]&lt;Table_BDD[[#This Row],[Lvl Entrée]]-19),"Oui",IF(AND(Table_BDD[[#This Row],[Type]]="buy",Table_BDD[[#This Row],[S / L]]&gt;Table_BDD[[#This Row],[Lvl Entrée]],Table_BDD[[#This Row],[Lvl Sortie]]&gt;=Table_BDD[[#This Row],[S / L]]-2,Table_BDD[[#This Row],[S / L]]&gt;Table_BDD[[#This Row],[Lvl Entrée]]+19),"Oui","Non")))</f>
        <v>Non</v>
      </c>
      <c r="BB10" s="37" t="str">
        <f>IF(Table_BDD[[#This Row],[Position]]="","Sans objet",IF(AND(Table_BDD[[#This Row],[Type]]="sell",Table_BDD[[#This Row],[S / L]]&lt;Table_BDD[[#This Row],[Lvl Entrée]],Table_BDD[[#This Row],[Points]]&gt;=-1),"Oui",IF(AND(Table_BDD[[#This Row],[Type]]="sell",Table_BDD[[#This Row],[S / L]]&gt;Table_BDD[[#This Row],[Lvl Entrée]]),"Non",IF(AND(Table_BDD[[#This Row],[Type]]="buy",Table_BDD[[#This Row],[S / L]]&lt;Table_BDD[[#This Row],[Lvl Entrée]]),"Non",IF(AND(Table_BDD[[#This Row],[Type]]="buy",Table_BDD[[#This Row],[S / L]]&gt;Table_BDD[[#This Row],[Lvl Entrée]],Table_BDD[[#This Row],[Points]]&gt;=-1),"Oui")))))</f>
        <v>Non</v>
      </c>
      <c r="BC10" s="37" t="str">
        <f>IF(Table_BDD[[#This Row],[Position]]="","Sans objet",IF(Table_BDD[[#This Row],[T / P]]="","Non",IF(AND(Table_BDD[[#This Row],[Type]]="sell",Table_BDD[[#This Row],[Lvl Sortie]]&lt;=Table_BDD[[#This Row],[T / P]]),"Oui",IF(AND(Table_BDD[[#This Row],[Type]]="buy",Table_BDD[[#This Row],[Lvl Sortie]]&gt;=Table_BDD[[#This Row],[T / P]]),"Oui","Non"))))</f>
        <v>Non</v>
      </c>
      <c r="BD10" s="91">
        <f t="array" ref="BD10">IFERROR(INDEX(downloadFile[#All],MATCH(Table_BDD[[#This Row],[Date]],downloadFile[[#All],[Column1]],0),2),BD9)</f>
        <v>1.1048</v>
      </c>
      <c r="BE10" s="89">
        <f>IF(Table_BDD[[#This Row],[Position]]="","",IF(Table_BDD[[#This Row],[Symbole]]="UsaInd",(Table_BDD[[#This Row],[Volume]]*Table_BDD[[#This Row],[Lvl Entrée]])/(Table_BDD[[#This Row],[Equité avant trade]]*Table_BDD[[#This Row],[EUR/USD]]),IF(Table_BDD[[#This Row],[Symbole]]="Ger30",(Table_BDD[[#This Row],[Volume]]*Table_BDD[[#This Row],[Lvl Entrée]])/Table_BDD[[#This Row],[Equité avant trade]],)))</f>
        <v>12.789292518395328</v>
      </c>
      <c r="BF10" s="38">
        <f>IF(Table_BDD[[#This Row],[Position]]="","",IF(Table_BDD[[#This Row],[Conformité]]="Non conforme",0,(MROUND(3*((Table_BDD[[#This Row],[Conviction]]+Table_BDD[[#This Row],[Timing]]+Table_BDD[[#This Row],[Sortie]])+1)-2,1))))</f>
        <v>0</v>
      </c>
      <c r="BG10" s="38" t="str">
        <f>IF(Table_BDD[[#This Row],[Position]]="","",IF(Table_BDD[[#This Row],[Points]]&lt;-5,"--",IF(AND(Table_BDD[[#This Row],[Points]]&gt;=-5,Table_BDD[[#This Row],[Points]]&lt;-1.5),"-",IF(AND(Table_BDD[[#This Row],[Points]]&gt;=-1.5,Table_BDD[[#This Row],[Points]]&lt;1.5),"0",IF(AND(Table_BDD[[#This Row],[Points]]&gt;=1.5,Table_BDD[[#This Row],[Points]]&lt;=70),"+",IF(Table_BDD[[#This Row],[Points]]&gt;70,"++"))))))</f>
        <v>--</v>
      </c>
      <c r="BH10" s="37" t="str">
        <f>IF(Table_BDD[[#This Row],[Position]]="","",IF(Table_BDD[[#This Row],[Points]]&gt;0,"Gagnant",IF(Table_BDD[[#This Row],[Points]]=0,"Flat","Perdant")))</f>
        <v>Perdant</v>
      </c>
      <c r="BI10" s="40">
        <f>IF(Table_BDD[[#This Row],[Position]]="","",IF(Table_BDD[[#This Row],[Résultat]]="Gagnant",1,0))</f>
        <v>0</v>
      </c>
      <c r="BJ10" s="40">
        <f>IF(Table_BDD[[#This Row],[Position]]="","",IF(Table_BDD[[#This Row],[Résultat]]="Perdant",1,0))</f>
        <v>1</v>
      </c>
      <c r="BK10" s="40"/>
      <c r="BL10" s="145" t="str">
        <f>IF(Table_BDD[[#This Row],[T / P]]="","",Table_BDD[[#This Row],[T / P]])</f>
        <v/>
      </c>
      <c r="BM10" s="147"/>
      <c r="BN10" s="147"/>
      <c r="BO10" s="147"/>
      <c r="BP10" s="147"/>
      <c r="BQ10" s="127"/>
    </row>
    <row r="11" spans="1:69" x14ac:dyDescent="0.2">
      <c r="A11" s="93">
        <v>43865.650243055556</v>
      </c>
      <c r="B11" s="94">
        <v>259441844</v>
      </c>
      <c r="C11" s="37" t="s">
        <v>8</v>
      </c>
      <c r="D11" s="37" t="s">
        <v>9</v>
      </c>
      <c r="E11" s="37">
        <v>0.5</v>
      </c>
      <c r="F11" s="95">
        <v>28795.58</v>
      </c>
      <c r="G11" s="95">
        <v>28785.68</v>
      </c>
      <c r="H11" s="95">
        <v>28874.99</v>
      </c>
      <c r="I11" s="28">
        <v>43865.650324074071</v>
      </c>
      <c r="J11" s="95">
        <v>28785.41</v>
      </c>
      <c r="K11" s="95">
        <v>0</v>
      </c>
      <c r="L11" s="95">
        <v>0</v>
      </c>
      <c r="M11" s="32">
        <v>-4.6100000000000003</v>
      </c>
      <c r="N11" s="148">
        <f>IF(Table_BDD[[#This Row],[Position]]="","",ROW()-3)</f>
        <v>8</v>
      </c>
      <c r="O11" s="32">
        <f>SUM($L$4:M11)</f>
        <v>10.270000000000003</v>
      </c>
      <c r="P11" s="32">
        <f>Table_BDD[[#This Row],[Equité avant trade]]+Table_BDD[[#This Row],[Profit]]+Table_BDD[[#This Row],[Echange]]</f>
        <v>1010.27</v>
      </c>
      <c r="Q11" s="52">
        <f>INT(Table_BDD[[#This Row],[Horodatage cloture]])</f>
        <v>43865</v>
      </c>
      <c r="R11" s="34">
        <f>WEEKNUM(Table_BDD[[#This Row],[Horodatage cloture]],2)</f>
        <v>6</v>
      </c>
      <c r="S11" s="61">
        <f>WEEKDAY(Table_BDD[[#This Row],[Horodatage cloture]])</f>
        <v>3</v>
      </c>
      <c r="T11" s="63">
        <f>HOUR(Table_BDD[[#This Row],[Horodatage cloture]])</f>
        <v>15</v>
      </c>
      <c r="U11" s="68">
        <f>IF(Table_BDD[[#This Row],[Position]]="","",IF(Table_BDD[[#This Row],[Valeur début de journée unique]]&lt;&gt;0,1,0))</f>
        <v>0</v>
      </c>
      <c r="V11" s="68" t="str">
        <f>IF(Table_BDD[[#This Row],[Nb de séance de trading]]=1,COUNTIF(Table_BDD[Date],Table_BDD[[#This Row],[Date]]),"")</f>
        <v/>
      </c>
      <c r="W11" s="33">
        <f>IF(Table_BDD[[#This Row],[Position]]="","",IF(Table_BDD[[#This Row],[Type]]="buy",ROUND(Table_BDD[[#This Row],[Lvl Entrée]]-Table_BDD[[#This Row],[S / L]],1),ROUND(Table_BDD[[#This Row],[S / L]]-Table_BDD[[#This Row],[Lvl Entrée]],1)))</f>
        <v>9.9</v>
      </c>
      <c r="X11" s="33">
        <f>IF(Table_BDD[[#This Row],[Position]]="","",IF(Table_BDD[[#This Row],[T / P]]=0,200,IF(Table_BDD[[#This Row],[Type]]="buy",ROUND(Table_BDD[[#This Row],[T / P]]-Table_BDD[[#This Row],[Lvl Entrée]],1),ROUND(Table_BDD[[#This Row],[Lvl Entrée]]-Table_BDD[[#This Row],[T / P]],1))))</f>
        <v>79.400000000000006</v>
      </c>
      <c r="Y11" s="34">
        <f>IF(Table_BDD[[#This Row],[Position]]="","",IF(Table_BDD[[#This Row],[Ecart du SL]]&gt;0,ROUND(ABS(Table_BDD[[#This Row],[Ecart du TP]])/ABS(Table_BDD[[#This Row],[Ecart du SL]]),1),ROUND(ABS(Table_BDD[[#This Row],[Ecart du TP]])/10,1)))</f>
        <v>8</v>
      </c>
      <c r="Z11" s="34">
        <f>IF(Table_BDD[[#This Row],[Position]]="","",IF(Table_BDD[[#This Row],[Ecart du SL]]&lt;0,IF(AND(Table_BDD[[#This Row],[Profit]]&gt;0,Table_BDD[[#This Row],[Type]]="sell"),ROUND((Table_BDD[[#This Row],[Lvl Entrée]]-Table_BDD[[#This Row],[Lvl Sortie]])/(10),1),IF(AND(Table_BDD[[#This Row],[Profit]]&gt;0,Table_BDD[[#This Row],[Type]]="buy"),ROUND((Table_BDD[[#This Row],[Lvl Sortie]]-Table_BDD[[#This Row],[Lvl Entrée]])/(10),1),)),IF(AND(Table_BDD[[#This Row],[Profit]]&gt;0,Table_BDD[[#This Row],[Type]]="sell"),ROUND((Table_BDD[[#This Row],[Lvl Entrée]]-Table_BDD[[#This Row],[Lvl Sortie]])/(Table_BDD[[#This Row],[S / L]]-Table_BDD[[#This Row],[Lvl Entrée]]),1),IF(AND(Table_BDD[[#This Row],[Profit]]&gt;0,Table_BDD[[#This Row],[Type]]="buy"),ROUND((Table_BDD[[#This Row],[Lvl Sortie]]-Table_BDD[[#This Row],[Lvl Entrée]])/(Table_BDD[[#This Row],[Lvl Entrée]]-Table_BDD[[#This Row],[S / L]]),1),ROUND(Table_BDD[[#This Row],[Points]]/10,1)))))</f>
        <v>-1</v>
      </c>
      <c r="AA11" s="32">
        <f>IF(Table_BDD[[#This Row],[Position]]="",AA10,Table_BDD[[#This Row],[Equité après trade]]-Table_BDD[[#This Row],[Profit]]-Table_BDD[[#This Row],[Echange]])</f>
        <v>1014.88</v>
      </c>
      <c r="AB11" s="149">
        <f>$B$1+SUM($L$4:M11)</f>
        <v>1010.27</v>
      </c>
      <c r="AC11" s="150">
        <f>IF(Table_BDD[[#This Row],[Position]]="","",_xlfn.MINIFS(Table_BDD[Horodatage ouverture],Table_BDD[Date],Table_BDD[Date]))</f>
        <v>43865.645729166667</v>
      </c>
      <c r="AD11" s="149">
        <f>VLOOKUP(_xlfn.MINIFS(Table_BDD[Horodatage ouverture],Table_BDD[Date],Table_BDD[Date]),Table_BDD[[Horodatage ouverture]:[Heure derniere valeur]],AA$2)</f>
        <v>1010.0300000000001</v>
      </c>
      <c r="AE11" s="149">
        <f>IF(VLOOKUP(_xlfn.MINIFS(Table_BDD[Horodatage ouverture],Table_BDD[Date],Table_BDD[Date]),Table_BDD[[Horodatage ouverture]:[Heure derniere valeur]],AA$2)=Table_BDD[[#This Row],[Equité avant trade]],VLOOKUP(_xlfn.MINIFS(Table_BDD[Horodatage ouverture],Table_BDD[Date],Table_BDD[Date]),Table_BDD[[Horodatage ouverture]:[Heure derniere valeur]],AA$2),0)</f>
        <v>0</v>
      </c>
      <c r="AF11" s="150">
        <f>IF(Table_BDD[[#This Row],[Position]]="","",_xlfn.MAXIFS(Table_BDD[Horodatage ouverture],Table_BDD[Date],Table_BDD[Date]))</f>
        <v>43865.841574074075</v>
      </c>
      <c r="AG11" s="32">
        <f>VLOOKUP(_xlfn.MAXIFS(Table_BDD[Horodatage cloture],Table_BDD[Date],Table_BDD[Date]),Table_BDD[[Horodatage ouverture]:[Heure derniere valeur]],AB$2)</f>
        <v>1011.88</v>
      </c>
      <c r="AH11" s="32">
        <f>IF(VLOOKUP(_xlfn.MAXIFS(Table_BDD[Horodatage cloture],Table_BDD[Date],Table_BDD[Date]),Table_BDD[[Horodatage ouverture]:[Heure derniere valeur]],AB$2)=Table_BDD[[#This Row],[Equité après trade]],VLOOKUP(_xlfn.MAXIFS(Table_BDD[Horodatage cloture],Table_BDD[Date],Table_BDD[Date]),Table_BDD[[Horodatage ouverture]:[Heure derniere valeur]],AB$2),0)</f>
        <v>0</v>
      </c>
      <c r="AI11" s="32" t="e">
        <f>IF(Table_BDD[[#This Row],[Valeur fin de journée unique]]=0,#N/A,Table_BDD[[#This Row],[Valeur fin de journée unique]])</f>
        <v>#N/A</v>
      </c>
      <c r="AJ11" s="35">
        <f>IF(Table_BDD[[#This Row],[Position]]="","",(Table_BDD[[#This Row],[Equité après trade]]-Table_BDD[[#This Row],[Equité avant trade]])/Table_BDD[[#This Row],[Equité avant trade]])</f>
        <v>-4.5424089547532846E-3</v>
      </c>
      <c r="AK11" s="35" t="str">
        <f>IFERROR(((INDEX(Table_BDD[[Trade n°]:[Valeur fin de journée unique]],Table_BDD[[#This Row],[Nb de trade du jour]]+Table_BDD[[#This Row],[Trade n°]]-1,21))-Table_BDD[[#This Row],[Valeur début de journée unique]])/Table_BDD[[#This Row],[Valeur début de journée unique]],"")</f>
        <v/>
      </c>
      <c r="AL11" s="32">
        <f>IF(Table_BDD[[#This Row],[Position]]="","",MAX(Table_BDD[[#This Row],[Cumul équité]],AL10))</f>
        <v>1019.44</v>
      </c>
      <c r="AM11" s="32">
        <f>IF(Table_BDD[[#This Row],[Position]]="","",MIN(Table_BDD[[#This Row],[Cumul équité]],AL10))</f>
        <v>1010.27</v>
      </c>
      <c r="AN11" s="97">
        <f>IF(Table_BDD[[#This Row],[Sommet Drawdown]]&gt;AL10,"",Table_BDD[[#This Row],[Creux Drawdown]]/Table_BDD[[#This Row],[Sommet Drawdown]]-1)</f>
        <v>-8.9951345836930541E-3</v>
      </c>
      <c r="AO11" s="36">
        <f>IF(Table_BDD[[#This Row],[Position]]="","",IF(Table_BDD[[#This Row],[Type]]="buy",ROUND(Table_BDD[[#This Row],[Lvl Sortie]]-Table_BDD[[#This Row],[Lvl Entrée]],1),ROUND(Table_BDD[[#This Row],[Lvl Entrée]]-Table_BDD[[#This Row],[Lvl Sortie]],1)))</f>
        <v>-10.199999999999999</v>
      </c>
      <c r="AP11" s="36" t="str">
        <f>IF(Table_BDD[[#This Row],[Points]]&gt;0,Table_BDD[[#This Row],[Points]],"")</f>
        <v/>
      </c>
      <c r="AQ11" s="36">
        <f>IF(Table_BDD[[#This Row],[Points]]&lt;0,Table_BDD[[#This Row],[Points]],"")</f>
        <v>-10.199999999999999</v>
      </c>
      <c r="AR11" s="36">
        <f>SUM($AO$4:AO11)</f>
        <v>22.600000000000005</v>
      </c>
      <c r="AS11" s="68">
        <f>IF(Table_BDD[[#This Row],[Position]]="","",IF(Table_BDD[[#This Row],[Conformité]]="Conforme",1,0))</f>
        <v>0</v>
      </c>
      <c r="AT11" s="68">
        <f>IF(Table_BDD[[#This Row],[Position]]="","",IF(Table_BDD[[#This Row],[Conformité]]="Non conforme",1,0))</f>
        <v>1</v>
      </c>
      <c r="AU11" s="37" t="s">
        <v>17</v>
      </c>
      <c r="AV11" s="37"/>
      <c r="AW11" s="37"/>
      <c r="AX11" s="37">
        <v>0</v>
      </c>
      <c r="AY11" s="37">
        <v>0</v>
      </c>
      <c r="AZ11" s="37">
        <v>0</v>
      </c>
      <c r="BA11" s="37" t="str">
        <f>IF(Table_BDD[[#This Row],[Position]]="","Sans objet",IF(AND(Table_BDD[[#This Row],[Type]]="sell",Table_BDD[[#This Row],[S / L]]&lt;Table_BDD[[#This Row],[Lvl Entrée]],Table_BDD[[#This Row],[Lvl Sortie]]&lt;=Table_BDD[[#This Row],[S / L]]+2,Table_BDD[[#This Row],[Lvl Sortie]]&lt;Table_BDD[[#This Row],[Lvl Entrée]]-19),"Oui",IF(AND(Table_BDD[[#This Row],[Type]]="buy",Table_BDD[[#This Row],[S / L]]&gt;Table_BDD[[#This Row],[Lvl Entrée]],Table_BDD[[#This Row],[Lvl Sortie]]&gt;=Table_BDD[[#This Row],[S / L]]-2,Table_BDD[[#This Row],[S / L]]&gt;Table_BDD[[#This Row],[Lvl Entrée]]+19),"Oui","Non")))</f>
        <v>Non</v>
      </c>
      <c r="BB11" s="37" t="str">
        <f>IF(Table_BDD[[#This Row],[Position]]="","Sans objet",IF(AND(Table_BDD[[#This Row],[Type]]="sell",Table_BDD[[#This Row],[S / L]]&lt;Table_BDD[[#This Row],[Lvl Entrée]],Table_BDD[[#This Row],[Points]]&gt;=-1),"Oui",IF(AND(Table_BDD[[#This Row],[Type]]="sell",Table_BDD[[#This Row],[S / L]]&gt;Table_BDD[[#This Row],[Lvl Entrée]]),"Non",IF(AND(Table_BDD[[#This Row],[Type]]="buy",Table_BDD[[#This Row],[S / L]]&lt;Table_BDD[[#This Row],[Lvl Entrée]]),"Non",IF(AND(Table_BDD[[#This Row],[Type]]="buy",Table_BDD[[#This Row],[S / L]]&gt;Table_BDD[[#This Row],[Lvl Entrée]],Table_BDD[[#This Row],[Points]]&gt;=-1),"Oui")))))</f>
        <v>Non</v>
      </c>
      <c r="BC11" s="37" t="str">
        <f>IF(Table_BDD[[#This Row],[Position]]="","Sans objet",IF(Table_BDD[[#This Row],[T / P]]="","Non",IF(AND(Table_BDD[[#This Row],[Type]]="sell",Table_BDD[[#This Row],[Lvl Sortie]]&lt;=Table_BDD[[#This Row],[T / P]]),"Oui",IF(AND(Table_BDD[[#This Row],[Type]]="buy",Table_BDD[[#This Row],[Lvl Sortie]]&gt;=Table_BDD[[#This Row],[T / P]]),"Oui","Non"))))</f>
        <v>Non</v>
      </c>
      <c r="BD11" s="91">
        <f t="array" ref="BD11">IFERROR(INDEX(downloadFile[#All],MATCH(Table_BDD[[#This Row],[Date]],downloadFile[[#All],[Column1]],0),2),BD10)</f>
        <v>1.1048</v>
      </c>
      <c r="BE11" s="89">
        <f>IF(Table_BDD[[#This Row],[Position]]="","",IF(Table_BDD[[#This Row],[Symbole]]="UsaInd",(Table_BDD[[#This Row],[Volume]]*Table_BDD[[#This Row],[Lvl Entrée]])/(Table_BDD[[#This Row],[Equité avant trade]]*Table_BDD[[#This Row],[EUR/USD]]),IF(Table_BDD[[#This Row],[Symbole]]="Ger30",(Table_BDD[[#This Row],[Volume]]*Table_BDD[[#This Row],[Lvl Entrée]])/Table_BDD[[#This Row],[Equité avant trade]],)))</f>
        <v>12.840959470222838</v>
      </c>
      <c r="BF11" s="38">
        <f>IF(Table_BDD[[#This Row],[Position]]="","",IF(Table_BDD[[#This Row],[Conformité]]="Non conforme",0,(MROUND(3*((Table_BDD[[#This Row],[Conviction]]+Table_BDD[[#This Row],[Timing]]+Table_BDD[[#This Row],[Sortie]])+1)-2,1))))</f>
        <v>0</v>
      </c>
      <c r="BG11" s="38" t="str">
        <f>IF(Table_BDD[[#This Row],[Position]]="","",IF(Table_BDD[[#This Row],[Points]]&lt;-5,"--",IF(AND(Table_BDD[[#This Row],[Points]]&gt;=-5,Table_BDD[[#This Row],[Points]]&lt;-1.5),"-",IF(AND(Table_BDD[[#This Row],[Points]]&gt;=-1.5,Table_BDD[[#This Row],[Points]]&lt;1.5),"0",IF(AND(Table_BDD[[#This Row],[Points]]&gt;=1.5,Table_BDD[[#This Row],[Points]]&lt;=70),"+",IF(Table_BDD[[#This Row],[Points]]&gt;70,"++"))))))</f>
        <v>--</v>
      </c>
      <c r="BH11" s="37" t="str">
        <f>IF(Table_BDD[[#This Row],[Position]]="","",IF(Table_BDD[[#This Row],[Points]]&gt;0,"Gagnant",IF(Table_BDD[[#This Row],[Points]]=0,"Flat","Perdant")))</f>
        <v>Perdant</v>
      </c>
      <c r="BI11" s="40">
        <f>IF(Table_BDD[[#This Row],[Position]]="","",IF(Table_BDD[[#This Row],[Résultat]]="Gagnant",1,0))</f>
        <v>0</v>
      </c>
      <c r="BJ11" s="40">
        <f>IF(Table_BDD[[#This Row],[Position]]="","",IF(Table_BDD[[#This Row],[Résultat]]="Perdant",1,0))</f>
        <v>1</v>
      </c>
      <c r="BK11" s="40"/>
      <c r="BL11" s="145">
        <f>IF(Table_BDD[[#This Row],[T / P]]="","",Table_BDD[[#This Row],[T / P]])</f>
        <v>28874.99</v>
      </c>
      <c r="BM11" s="147"/>
      <c r="BN11" s="147"/>
      <c r="BO11" s="147"/>
      <c r="BP11" s="147"/>
      <c r="BQ11" s="127"/>
    </row>
    <row r="12" spans="1:69" x14ac:dyDescent="0.2">
      <c r="A12" s="93">
        <v>43865.650347222225</v>
      </c>
      <c r="B12" s="94">
        <v>259441886</v>
      </c>
      <c r="C12" s="37" t="s">
        <v>8</v>
      </c>
      <c r="D12" s="37" t="s">
        <v>9</v>
      </c>
      <c r="E12" s="37">
        <v>0.5</v>
      </c>
      <c r="F12" s="95">
        <v>28791.73</v>
      </c>
      <c r="G12" s="95">
        <v>28781.73</v>
      </c>
      <c r="H12" s="95">
        <v>28875.63</v>
      </c>
      <c r="I12" s="28">
        <v>43865.650868055556</v>
      </c>
      <c r="J12" s="95">
        <v>28781.48</v>
      </c>
      <c r="K12" s="95">
        <v>0</v>
      </c>
      <c r="L12" s="95">
        <v>0</v>
      </c>
      <c r="M12" s="32">
        <v>-4.6500000000000004</v>
      </c>
      <c r="N12" s="148">
        <f>IF(Table_BDD[[#This Row],[Position]]="","",ROW()-3)</f>
        <v>9</v>
      </c>
      <c r="O12" s="32">
        <f>SUM($L$4:M12)</f>
        <v>5.6200000000000028</v>
      </c>
      <c r="P12" s="32">
        <f>Table_BDD[[#This Row],[Equité avant trade]]+Table_BDD[[#This Row],[Profit]]+Table_BDD[[#This Row],[Echange]]</f>
        <v>1005.62</v>
      </c>
      <c r="Q12" s="52">
        <f>INT(Table_BDD[[#This Row],[Horodatage cloture]])</f>
        <v>43865</v>
      </c>
      <c r="R12" s="34">
        <f>WEEKNUM(Table_BDD[[#This Row],[Horodatage cloture]],2)</f>
        <v>6</v>
      </c>
      <c r="S12" s="61">
        <f>WEEKDAY(Table_BDD[[#This Row],[Horodatage cloture]])</f>
        <v>3</v>
      </c>
      <c r="T12" s="63">
        <f>HOUR(Table_BDD[[#This Row],[Horodatage cloture]])</f>
        <v>15</v>
      </c>
      <c r="U12" s="68">
        <f>IF(Table_BDD[[#This Row],[Position]]="","",IF(Table_BDD[[#This Row],[Valeur début de journée unique]]&lt;&gt;0,1,0))</f>
        <v>0</v>
      </c>
      <c r="V12" s="68" t="str">
        <f>IF(Table_BDD[[#This Row],[Nb de séance de trading]]=1,COUNTIF(Table_BDD[Date],Table_BDD[[#This Row],[Date]]),"")</f>
        <v/>
      </c>
      <c r="W12" s="33">
        <f>IF(Table_BDD[[#This Row],[Position]]="","",IF(Table_BDD[[#This Row],[Type]]="buy",ROUND(Table_BDD[[#This Row],[Lvl Entrée]]-Table_BDD[[#This Row],[S / L]],1),ROUND(Table_BDD[[#This Row],[S / L]]-Table_BDD[[#This Row],[Lvl Entrée]],1)))</f>
        <v>10</v>
      </c>
      <c r="X12" s="33">
        <f>IF(Table_BDD[[#This Row],[Position]]="","",IF(Table_BDD[[#This Row],[T / P]]=0,200,IF(Table_BDD[[#This Row],[Type]]="buy",ROUND(Table_BDD[[#This Row],[T / P]]-Table_BDD[[#This Row],[Lvl Entrée]],1),ROUND(Table_BDD[[#This Row],[Lvl Entrée]]-Table_BDD[[#This Row],[T / P]],1))))</f>
        <v>83.9</v>
      </c>
      <c r="Y12" s="34">
        <f>IF(Table_BDD[[#This Row],[Position]]="","",IF(Table_BDD[[#This Row],[Ecart du SL]]&gt;0,ROUND(ABS(Table_BDD[[#This Row],[Ecart du TP]])/ABS(Table_BDD[[#This Row],[Ecart du SL]]),1),ROUND(ABS(Table_BDD[[#This Row],[Ecart du TP]])/10,1)))</f>
        <v>8.4</v>
      </c>
      <c r="Z12" s="34">
        <f>IF(Table_BDD[[#This Row],[Position]]="","",IF(Table_BDD[[#This Row],[Ecart du SL]]&lt;0,IF(AND(Table_BDD[[#This Row],[Profit]]&gt;0,Table_BDD[[#This Row],[Type]]="sell"),ROUND((Table_BDD[[#This Row],[Lvl Entrée]]-Table_BDD[[#This Row],[Lvl Sortie]])/(10),1),IF(AND(Table_BDD[[#This Row],[Profit]]&gt;0,Table_BDD[[#This Row],[Type]]="buy"),ROUND((Table_BDD[[#This Row],[Lvl Sortie]]-Table_BDD[[#This Row],[Lvl Entrée]])/(10),1),)),IF(AND(Table_BDD[[#This Row],[Profit]]&gt;0,Table_BDD[[#This Row],[Type]]="sell"),ROUND((Table_BDD[[#This Row],[Lvl Entrée]]-Table_BDD[[#This Row],[Lvl Sortie]])/(Table_BDD[[#This Row],[S / L]]-Table_BDD[[#This Row],[Lvl Entrée]]),1),IF(AND(Table_BDD[[#This Row],[Profit]]&gt;0,Table_BDD[[#This Row],[Type]]="buy"),ROUND((Table_BDD[[#This Row],[Lvl Sortie]]-Table_BDD[[#This Row],[Lvl Entrée]])/(Table_BDD[[#This Row],[Lvl Entrée]]-Table_BDD[[#This Row],[S / L]]),1),ROUND(Table_BDD[[#This Row],[Points]]/10,1)))))</f>
        <v>-1</v>
      </c>
      <c r="AA12" s="32">
        <f>IF(Table_BDD[[#This Row],[Position]]="",AA11,Table_BDD[[#This Row],[Equité après trade]]-Table_BDD[[#This Row],[Profit]]-Table_BDD[[#This Row],[Echange]])</f>
        <v>1010.27</v>
      </c>
      <c r="AB12" s="149">
        <f>$B$1+SUM($L$4:M12)</f>
        <v>1005.62</v>
      </c>
      <c r="AC12" s="150">
        <f>IF(Table_BDD[[#This Row],[Position]]="","",_xlfn.MINIFS(Table_BDD[Horodatage ouverture],Table_BDD[Date],Table_BDD[Date]))</f>
        <v>43865.645729166667</v>
      </c>
      <c r="AD12" s="149">
        <f>VLOOKUP(_xlfn.MINIFS(Table_BDD[Horodatage ouverture],Table_BDD[Date],Table_BDD[Date]),Table_BDD[[Horodatage ouverture]:[Heure derniere valeur]],AA$2)</f>
        <v>1010.0300000000001</v>
      </c>
      <c r="AE12" s="149">
        <f>IF(VLOOKUP(_xlfn.MINIFS(Table_BDD[Horodatage ouverture],Table_BDD[Date],Table_BDD[Date]),Table_BDD[[Horodatage ouverture]:[Heure derniere valeur]],AA$2)=Table_BDD[[#This Row],[Equité avant trade]],VLOOKUP(_xlfn.MINIFS(Table_BDD[Horodatage ouverture],Table_BDD[Date],Table_BDD[Date]),Table_BDD[[Horodatage ouverture]:[Heure derniere valeur]],AA$2),0)</f>
        <v>0</v>
      </c>
      <c r="AF12" s="150">
        <f>IF(Table_BDD[[#This Row],[Position]]="","",_xlfn.MAXIFS(Table_BDD[Horodatage ouverture],Table_BDD[Date],Table_BDD[Date]))</f>
        <v>43865.841574074075</v>
      </c>
      <c r="AG12" s="32">
        <f>VLOOKUP(_xlfn.MAXIFS(Table_BDD[Horodatage cloture],Table_BDD[Date],Table_BDD[Date]),Table_BDD[[Horodatage ouverture]:[Heure derniere valeur]],AB$2)</f>
        <v>1011.88</v>
      </c>
      <c r="AH12" s="32">
        <f>IF(VLOOKUP(_xlfn.MAXIFS(Table_BDD[Horodatage cloture],Table_BDD[Date],Table_BDD[Date]),Table_BDD[[Horodatage ouverture]:[Heure derniere valeur]],AB$2)=Table_BDD[[#This Row],[Equité après trade]],VLOOKUP(_xlfn.MAXIFS(Table_BDD[Horodatage cloture],Table_BDD[Date],Table_BDD[Date]),Table_BDD[[Horodatage ouverture]:[Heure derniere valeur]],AB$2),0)</f>
        <v>0</v>
      </c>
      <c r="AI12" s="32" t="e">
        <f>IF(Table_BDD[[#This Row],[Valeur fin de journée unique]]=0,#N/A,Table_BDD[[#This Row],[Valeur fin de journée unique]])</f>
        <v>#N/A</v>
      </c>
      <c r="AJ12" s="35">
        <f>IF(Table_BDD[[#This Row],[Position]]="","",(Table_BDD[[#This Row],[Equité après trade]]-Table_BDD[[#This Row],[Equité avant trade]])/Table_BDD[[#This Row],[Equité avant trade]])</f>
        <v>-4.6027299632771211E-3</v>
      </c>
      <c r="AK12" s="35" t="str">
        <f>IFERROR(((INDEX(Table_BDD[[Trade n°]:[Valeur fin de journée unique]],Table_BDD[[#This Row],[Nb de trade du jour]]+Table_BDD[[#This Row],[Trade n°]]-1,21))-Table_BDD[[#This Row],[Valeur début de journée unique]])/Table_BDD[[#This Row],[Valeur début de journée unique]],"")</f>
        <v/>
      </c>
      <c r="AL12" s="32">
        <f>IF(Table_BDD[[#This Row],[Position]]="","",MAX(Table_BDD[[#This Row],[Cumul équité]],AL11))</f>
        <v>1019.44</v>
      </c>
      <c r="AM12" s="32">
        <f>IF(Table_BDD[[#This Row],[Position]]="","",MIN(Table_BDD[[#This Row],[Cumul équité]],AL11))</f>
        <v>1005.62</v>
      </c>
      <c r="AN12" s="97">
        <f>IF(Table_BDD[[#This Row],[Sommet Drawdown]]&gt;AL11,"",Table_BDD[[#This Row],[Creux Drawdown]]/Table_BDD[[#This Row],[Sommet Drawdown]]-1)</f>
        <v>-1.3556462371498101E-2</v>
      </c>
      <c r="AO12" s="36">
        <f>IF(Table_BDD[[#This Row],[Position]]="","",IF(Table_BDD[[#This Row],[Type]]="buy",ROUND(Table_BDD[[#This Row],[Lvl Sortie]]-Table_BDD[[#This Row],[Lvl Entrée]],1),ROUND(Table_BDD[[#This Row],[Lvl Entrée]]-Table_BDD[[#This Row],[Lvl Sortie]],1)))</f>
        <v>-10.3</v>
      </c>
      <c r="AP12" s="36" t="str">
        <f>IF(Table_BDD[[#This Row],[Points]]&gt;0,Table_BDD[[#This Row],[Points]],"")</f>
        <v/>
      </c>
      <c r="AQ12" s="36">
        <f>IF(Table_BDD[[#This Row],[Points]]&lt;0,Table_BDD[[#This Row],[Points]],"")</f>
        <v>-10.3</v>
      </c>
      <c r="AR12" s="36">
        <f>SUM($AO$4:AO12)</f>
        <v>12.300000000000004</v>
      </c>
      <c r="AS12" s="68">
        <f>IF(Table_BDD[[#This Row],[Position]]="","",IF(Table_BDD[[#This Row],[Conformité]]="Conforme",1,0))</f>
        <v>0</v>
      </c>
      <c r="AT12" s="68">
        <f>IF(Table_BDD[[#This Row],[Position]]="","",IF(Table_BDD[[#This Row],[Conformité]]="Non conforme",1,0))</f>
        <v>1</v>
      </c>
      <c r="AU12" s="37" t="s">
        <v>17</v>
      </c>
      <c r="AV12" s="37"/>
      <c r="AW12" s="37"/>
      <c r="AX12" s="37">
        <v>0</v>
      </c>
      <c r="AY12" s="37">
        <v>0</v>
      </c>
      <c r="AZ12" s="37">
        <v>0</v>
      </c>
      <c r="BA12" s="37" t="str">
        <f>IF(Table_BDD[[#This Row],[Position]]="","Sans objet",IF(AND(Table_BDD[[#This Row],[Type]]="sell",Table_BDD[[#This Row],[S / L]]&lt;Table_BDD[[#This Row],[Lvl Entrée]],Table_BDD[[#This Row],[Lvl Sortie]]&lt;=Table_BDD[[#This Row],[S / L]]+2,Table_BDD[[#This Row],[Lvl Sortie]]&lt;Table_BDD[[#This Row],[Lvl Entrée]]-19),"Oui",IF(AND(Table_BDD[[#This Row],[Type]]="buy",Table_BDD[[#This Row],[S / L]]&gt;Table_BDD[[#This Row],[Lvl Entrée]],Table_BDD[[#This Row],[Lvl Sortie]]&gt;=Table_BDD[[#This Row],[S / L]]-2,Table_BDD[[#This Row],[S / L]]&gt;Table_BDD[[#This Row],[Lvl Entrée]]+19),"Oui","Non")))</f>
        <v>Non</v>
      </c>
      <c r="BB12" s="37" t="str">
        <f>IF(Table_BDD[[#This Row],[Position]]="","Sans objet",IF(AND(Table_BDD[[#This Row],[Type]]="sell",Table_BDD[[#This Row],[S / L]]&lt;Table_BDD[[#This Row],[Lvl Entrée]],Table_BDD[[#This Row],[Points]]&gt;=-1),"Oui",IF(AND(Table_BDD[[#This Row],[Type]]="sell",Table_BDD[[#This Row],[S / L]]&gt;Table_BDD[[#This Row],[Lvl Entrée]]),"Non",IF(AND(Table_BDD[[#This Row],[Type]]="buy",Table_BDD[[#This Row],[S / L]]&lt;Table_BDD[[#This Row],[Lvl Entrée]]),"Non",IF(AND(Table_BDD[[#This Row],[Type]]="buy",Table_BDD[[#This Row],[S / L]]&gt;Table_BDD[[#This Row],[Lvl Entrée]],Table_BDD[[#This Row],[Points]]&gt;=-1),"Oui")))))</f>
        <v>Non</v>
      </c>
      <c r="BC12" s="37" t="str">
        <f>IF(Table_BDD[[#This Row],[Position]]="","Sans objet",IF(Table_BDD[[#This Row],[T / P]]="","Non",IF(AND(Table_BDD[[#This Row],[Type]]="sell",Table_BDD[[#This Row],[Lvl Sortie]]&lt;=Table_BDD[[#This Row],[T / P]]),"Oui",IF(AND(Table_BDD[[#This Row],[Type]]="buy",Table_BDD[[#This Row],[Lvl Sortie]]&gt;=Table_BDD[[#This Row],[T / P]]),"Oui","Non"))))</f>
        <v>Non</v>
      </c>
      <c r="BD12" s="91">
        <f t="array" ref="BD12">IFERROR(INDEX(downloadFile[#All],MATCH(Table_BDD[[#This Row],[Date]],downloadFile[[#All],[Column1]],0),2),BD11)</f>
        <v>1.1048</v>
      </c>
      <c r="BE12" s="89">
        <f>IF(Table_BDD[[#This Row],[Position]]="","",IF(Table_BDD[[#This Row],[Symbole]]="UsaInd",(Table_BDD[[#This Row],[Volume]]*Table_BDD[[#This Row],[Lvl Entrée]])/(Table_BDD[[#This Row],[Equité avant trade]]*Table_BDD[[#This Row],[EUR/USD]]),IF(Table_BDD[[#This Row],[Symbole]]="Ger30",(Table_BDD[[#This Row],[Volume]]*Table_BDD[[#This Row],[Lvl Entrée]])/Table_BDD[[#This Row],[Equité avant trade]],)))</f>
        <v>12.897829837890715</v>
      </c>
      <c r="BF12" s="38">
        <f>IF(Table_BDD[[#This Row],[Position]]="","",IF(Table_BDD[[#This Row],[Conformité]]="Non conforme",0,(MROUND(3*((Table_BDD[[#This Row],[Conviction]]+Table_BDD[[#This Row],[Timing]]+Table_BDD[[#This Row],[Sortie]])+1)-2,1))))</f>
        <v>0</v>
      </c>
      <c r="BG12" s="38" t="str">
        <f>IF(Table_BDD[[#This Row],[Position]]="","",IF(Table_BDD[[#This Row],[Points]]&lt;-5,"--",IF(AND(Table_BDD[[#This Row],[Points]]&gt;=-5,Table_BDD[[#This Row],[Points]]&lt;-1.5),"-",IF(AND(Table_BDD[[#This Row],[Points]]&gt;=-1.5,Table_BDD[[#This Row],[Points]]&lt;1.5),"0",IF(AND(Table_BDD[[#This Row],[Points]]&gt;=1.5,Table_BDD[[#This Row],[Points]]&lt;=70),"+",IF(Table_BDD[[#This Row],[Points]]&gt;70,"++"))))))</f>
        <v>--</v>
      </c>
      <c r="BH12" s="37" t="str">
        <f>IF(Table_BDD[[#This Row],[Position]]="","",IF(Table_BDD[[#This Row],[Points]]&gt;0,"Gagnant",IF(Table_BDD[[#This Row],[Points]]=0,"Flat","Perdant")))</f>
        <v>Perdant</v>
      </c>
      <c r="BI12" s="40">
        <f>IF(Table_BDD[[#This Row],[Position]]="","",IF(Table_BDD[[#This Row],[Résultat]]="Gagnant",1,0))</f>
        <v>0</v>
      </c>
      <c r="BJ12" s="40">
        <f>IF(Table_BDD[[#This Row],[Position]]="","",IF(Table_BDD[[#This Row],[Résultat]]="Perdant",1,0))</f>
        <v>1</v>
      </c>
      <c r="BK12" s="40"/>
      <c r="BL12" s="145">
        <f>IF(Table_BDD[[#This Row],[T / P]]="","",Table_BDD[[#This Row],[T / P]])</f>
        <v>28875.63</v>
      </c>
      <c r="BM12" s="147"/>
      <c r="BN12" s="147"/>
      <c r="BO12" s="147"/>
      <c r="BP12" s="147"/>
      <c r="BQ12" s="127"/>
    </row>
    <row r="13" spans="1:69" x14ac:dyDescent="0.2">
      <c r="A13" s="93">
        <v>43865.651006944441</v>
      </c>
      <c r="B13" s="94">
        <v>259442033</v>
      </c>
      <c r="C13" s="37" t="s">
        <v>8</v>
      </c>
      <c r="D13" s="37" t="s">
        <v>9</v>
      </c>
      <c r="E13" s="37">
        <v>0.5</v>
      </c>
      <c r="F13" s="95">
        <v>28790.57</v>
      </c>
      <c r="G13" s="95">
        <v>28780.57</v>
      </c>
      <c r="H13" s="95">
        <v>28875.57</v>
      </c>
      <c r="I13" s="28">
        <v>43865.652002314811</v>
      </c>
      <c r="J13" s="95">
        <v>28780.41</v>
      </c>
      <c r="K13" s="95">
        <v>0</v>
      </c>
      <c r="L13" s="95">
        <v>0</v>
      </c>
      <c r="M13" s="32">
        <v>-4.5999999999999996</v>
      </c>
      <c r="N13" s="148">
        <f>IF(Table_BDD[[#This Row],[Position]]="","",ROW()-3)</f>
        <v>10</v>
      </c>
      <c r="O13" s="32">
        <f>SUM($L$4:M13)</f>
        <v>1.0200000000000031</v>
      </c>
      <c r="P13" s="32">
        <f>Table_BDD[[#This Row],[Equité avant trade]]+Table_BDD[[#This Row],[Profit]]+Table_BDD[[#This Row],[Echange]]</f>
        <v>1001.02</v>
      </c>
      <c r="Q13" s="52">
        <f>INT(Table_BDD[[#This Row],[Horodatage cloture]])</f>
        <v>43865</v>
      </c>
      <c r="R13" s="34">
        <f>WEEKNUM(Table_BDD[[#This Row],[Horodatage cloture]],2)</f>
        <v>6</v>
      </c>
      <c r="S13" s="61">
        <f>WEEKDAY(Table_BDD[[#This Row],[Horodatage cloture]])</f>
        <v>3</v>
      </c>
      <c r="T13" s="63">
        <f>HOUR(Table_BDD[[#This Row],[Horodatage cloture]])</f>
        <v>15</v>
      </c>
      <c r="U13" s="68">
        <f>IF(Table_BDD[[#This Row],[Position]]="","",IF(Table_BDD[[#This Row],[Valeur début de journée unique]]&lt;&gt;0,1,0))</f>
        <v>0</v>
      </c>
      <c r="V13" s="68" t="str">
        <f>IF(Table_BDD[[#This Row],[Nb de séance de trading]]=1,COUNTIF(Table_BDD[Date],Table_BDD[[#This Row],[Date]]),"")</f>
        <v/>
      </c>
      <c r="W13" s="33">
        <f>IF(Table_BDD[[#This Row],[Position]]="","",IF(Table_BDD[[#This Row],[Type]]="buy",ROUND(Table_BDD[[#This Row],[Lvl Entrée]]-Table_BDD[[#This Row],[S / L]],1),ROUND(Table_BDD[[#This Row],[S / L]]-Table_BDD[[#This Row],[Lvl Entrée]],1)))</f>
        <v>10</v>
      </c>
      <c r="X13" s="33">
        <f>IF(Table_BDD[[#This Row],[Position]]="","",IF(Table_BDD[[#This Row],[T / P]]=0,200,IF(Table_BDD[[#This Row],[Type]]="buy",ROUND(Table_BDD[[#This Row],[T / P]]-Table_BDD[[#This Row],[Lvl Entrée]],1),ROUND(Table_BDD[[#This Row],[Lvl Entrée]]-Table_BDD[[#This Row],[T / P]],1))))</f>
        <v>85</v>
      </c>
      <c r="Y13" s="34">
        <f>IF(Table_BDD[[#This Row],[Position]]="","",IF(Table_BDD[[#This Row],[Ecart du SL]]&gt;0,ROUND(ABS(Table_BDD[[#This Row],[Ecart du TP]])/ABS(Table_BDD[[#This Row],[Ecart du SL]]),1),ROUND(ABS(Table_BDD[[#This Row],[Ecart du TP]])/10,1)))</f>
        <v>8.5</v>
      </c>
      <c r="Z13" s="34">
        <f>IF(Table_BDD[[#This Row],[Position]]="","",IF(Table_BDD[[#This Row],[Ecart du SL]]&lt;0,IF(AND(Table_BDD[[#This Row],[Profit]]&gt;0,Table_BDD[[#This Row],[Type]]="sell"),ROUND((Table_BDD[[#This Row],[Lvl Entrée]]-Table_BDD[[#This Row],[Lvl Sortie]])/(10),1),IF(AND(Table_BDD[[#This Row],[Profit]]&gt;0,Table_BDD[[#This Row],[Type]]="buy"),ROUND((Table_BDD[[#This Row],[Lvl Sortie]]-Table_BDD[[#This Row],[Lvl Entrée]])/(10),1),)),IF(AND(Table_BDD[[#This Row],[Profit]]&gt;0,Table_BDD[[#This Row],[Type]]="sell"),ROUND((Table_BDD[[#This Row],[Lvl Entrée]]-Table_BDD[[#This Row],[Lvl Sortie]])/(Table_BDD[[#This Row],[S / L]]-Table_BDD[[#This Row],[Lvl Entrée]]),1),IF(AND(Table_BDD[[#This Row],[Profit]]&gt;0,Table_BDD[[#This Row],[Type]]="buy"),ROUND((Table_BDD[[#This Row],[Lvl Sortie]]-Table_BDD[[#This Row],[Lvl Entrée]])/(Table_BDD[[#This Row],[Lvl Entrée]]-Table_BDD[[#This Row],[S / L]]),1),ROUND(Table_BDD[[#This Row],[Points]]/10,1)))))</f>
        <v>-1</v>
      </c>
      <c r="AA13" s="32">
        <f>IF(Table_BDD[[#This Row],[Position]]="",AA12,Table_BDD[[#This Row],[Equité après trade]]-Table_BDD[[#This Row],[Profit]]-Table_BDD[[#This Row],[Echange]])</f>
        <v>1005.62</v>
      </c>
      <c r="AB13" s="149">
        <f>$B$1+SUM($L$4:M13)</f>
        <v>1001.02</v>
      </c>
      <c r="AC13" s="150">
        <f>IF(Table_BDD[[#This Row],[Position]]="","",_xlfn.MINIFS(Table_BDD[Horodatage ouverture],Table_BDD[Date],Table_BDD[Date]))</f>
        <v>43865.645729166667</v>
      </c>
      <c r="AD13" s="149">
        <f>VLOOKUP(_xlfn.MINIFS(Table_BDD[Horodatage ouverture],Table_BDD[Date],Table_BDD[Date]),Table_BDD[[Horodatage ouverture]:[Heure derniere valeur]],AA$2)</f>
        <v>1010.0300000000001</v>
      </c>
      <c r="AE13" s="149">
        <f>IF(VLOOKUP(_xlfn.MINIFS(Table_BDD[Horodatage ouverture],Table_BDD[Date],Table_BDD[Date]),Table_BDD[[Horodatage ouverture]:[Heure derniere valeur]],AA$2)=Table_BDD[[#This Row],[Equité avant trade]],VLOOKUP(_xlfn.MINIFS(Table_BDD[Horodatage ouverture],Table_BDD[Date],Table_BDD[Date]),Table_BDD[[Horodatage ouverture]:[Heure derniere valeur]],AA$2),0)</f>
        <v>0</v>
      </c>
      <c r="AF13" s="150">
        <f>IF(Table_BDD[[#This Row],[Position]]="","",_xlfn.MAXIFS(Table_BDD[Horodatage ouverture],Table_BDD[Date],Table_BDD[Date]))</f>
        <v>43865.841574074075</v>
      </c>
      <c r="AG13" s="32">
        <f>VLOOKUP(_xlfn.MAXIFS(Table_BDD[Horodatage cloture],Table_BDD[Date],Table_BDD[Date]),Table_BDD[[Horodatage ouverture]:[Heure derniere valeur]],AB$2)</f>
        <v>1011.88</v>
      </c>
      <c r="AH13" s="32">
        <f>IF(VLOOKUP(_xlfn.MAXIFS(Table_BDD[Horodatage cloture],Table_BDD[Date],Table_BDD[Date]),Table_BDD[[Horodatage ouverture]:[Heure derniere valeur]],AB$2)=Table_BDD[[#This Row],[Equité après trade]],VLOOKUP(_xlfn.MAXIFS(Table_BDD[Horodatage cloture],Table_BDD[Date],Table_BDD[Date]),Table_BDD[[Horodatage ouverture]:[Heure derniere valeur]],AB$2),0)</f>
        <v>0</v>
      </c>
      <c r="AI13" s="32" t="e">
        <f>IF(Table_BDD[[#This Row],[Valeur fin de journée unique]]=0,#N/A,Table_BDD[[#This Row],[Valeur fin de journée unique]])</f>
        <v>#N/A</v>
      </c>
      <c r="AJ13" s="35">
        <f>IF(Table_BDD[[#This Row],[Position]]="","",(Table_BDD[[#This Row],[Equité après trade]]-Table_BDD[[#This Row],[Equité avant trade]])/Table_BDD[[#This Row],[Equité avant trade]])</f>
        <v>-4.5742924762833103E-3</v>
      </c>
      <c r="AK13" s="35" t="str">
        <f>IFERROR(((INDEX(Table_BDD[[Trade n°]:[Valeur fin de journée unique]],Table_BDD[[#This Row],[Nb de trade du jour]]+Table_BDD[[#This Row],[Trade n°]]-1,21))-Table_BDD[[#This Row],[Valeur début de journée unique]])/Table_BDD[[#This Row],[Valeur début de journée unique]],"")</f>
        <v/>
      </c>
      <c r="AL13" s="32">
        <f>IF(Table_BDD[[#This Row],[Position]]="","",MAX(Table_BDD[[#This Row],[Cumul équité]],AL12))</f>
        <v>1019.44</v>
      </c>
      <c r="AM13" s="32">
        <f>IF(Table_BDD[[#This Row],[Position]]="","",MIN(Table_BDD[[#This Row],[Cumul équité]],AL12))</f>
        <v>1001.02</v>
      </c>
      <c r="AN13" s="97">
        <f>IF(Table_BDD[[#This Row],[Sommet Drawdown]]&gt;AL12,"",Table_BDD[[#This Row],[Creux Drawdown]]/Table_BDD[[#This Row],[Sommet Drawdown]]-1)</f>
        <v>-1.8068743623950501E-2</v>
      </c>
      <c r="AO13" s="36">
        <f>IF(Table_BDD[[#This Row],[Position]]="","",IF(Table_BDD[[#This Row],[Type]]="buy",ROUND(Table_BDD[[#This Row],[Lvl Sortie]]-Table_BDD[[#This Row],[Lvl Entrée]],1),ROUND(Table_BDD[[#This Row],[Lvl Entrée]]-Table_BDD[[#This Row],[Lvl Sortie]],1)))</f>
        <v>-10.199999999999999</v>
      </c>
      <c r="AP13" s="36" t="str">
        <f>IF(Table_BDD[[#This Row],[Points]]&gt;0,Table_BDD[[#This Row],[Points]],"")</f>
        <v/>
      </c>
      <c r="AQ13" s="36">
        <f>IF(Table_BDD[[#This Row],[Points]]&lt;0,Table_BDD[[#This Row],[Points]],"")</f>
        <v>-10.199999999999999</v>
      </c>
      <c r="AR13" s="36">
        <f>SUM($AO$4:AO13)</f>
        <v>2.100000000000005</v>
      </c>
      <c r="AS13" s="68">
        <f>IF(Table_BDD[[#This Row],[Position]]="","",IF(Table_BDD[[#This Row],[Conformité]]="Conforme",1,0))</f>
        <v>0</v>
      </c>
      <c r="AT13" s="68">
        <f>IF(Table_BDD[[#This Row],[Position]]="","",IF(Table_BDD[[#This Row],[Conformité]]="Non conforme",1,0))</f>
        <v>1</v>
      </c>
      <c r="AU13" s="37" t="s">
        <v>17</v>
      </c>
      <c r="AV13" s="37"/>
      <c r="AW13" s="37"/>
      <c r="AX13" s="37">
        <v>0</v>
      </c>
      <c r="AY13" s="37">
        <v>0</v>
      </c>
      <c r="AZ13" s="37">
        <v>0</v>
      </c>
      <c r="BA13" s="37" t="str">
        <f>IF(Table_BDD[[#This Row],[Position]]="","Sans objet",IF(AND(Table_BDD[[#This Row],[Type]]="sell",Table_BDD[[#This Row],[S / L]]&lt;Table_BDD[[#This Row],[Lvl Entrée]],Table_BDD[[#This Row],[Lvl Sortie]]&lt;=Table_BDD[[#This Row],[S / L]]+2,Table_BDD[[#This Row],[Lvl Sortie]]&lt;Table_BDD[[#This Row],[Lvl Entrée]]-19),"Oui",IF(AND(Table_BDD[[#This Row],[Type]]="buy",Table_BDD[[#This Row],[S / L]]&gt;Table_BDD[[#This Row],[Lvl Entrée]],Table_BDD[[#This Row],[Lvl Sortie]]&gt;=Table_BDD[[#This Row],[S / L]]-2,Table_BDD[[#This Row],[S / L]]&gt;Table_BDD[[#This Row],[Lvl Entrée]]+19),"Oui","Non")))</f>
        <v>Non</v>
      </c>
      <c r="BB13" s="37" t="str">
        <f>IF(Table_BDD[[#This Row],[Position]]="","Sans objet",IF(AND(Table_BDD[[#This Row],[Type]]="sell",Table_BDD[[#This Row],[S / L]]&lt;Table_BDD[[#This Row],[Lvl Entrée]],Table_BDD[[#This Row],[Points]]&gt;=-1),"Oui",IF(AND(Table_BDD[[#This Row],[Type]]="sell",Table_BDD[[#This Row],[S / L]]&gt;Table_BDD[[#This Row],[Lvl Entrée]]),"Non",IF(AND(Table_BDD[[#This Row],[Type]]="buy",Table_BDD[[#This Row],[S / L]]&lt;Table_BDD[[#This Row],[Lvl Entrée]]),"Non",IF(AND(Table_BDD[[#This Row],[Type]]="buy",Table_BDD[[#This Row],[S / L]]&gt;Table_BDD[[#This Row],[Lvl Entrée]],Table_BDD[[#This Row],[Points]]&gt;=-1),"Oui")))))</f>
        <v>Non</v>
      </c>
      <c r="BC13" s="37" t="str">
        <f>IF(Table_BDD[[#This Row],[Position]]="","Sans objet",IF(Table_BDD[[#This Row],[T / P]]="","Non",IF(AND(Table_BDD[[#This Row],[Type]]="sell",Table_BDD[[#This Row],[Lvl Sortie]]&lt;=Table_BDD[[#This Row],[T / P]]),"Oui",IF(AND(Table_BDD[[#This Row],[Type]]="buy",Table_BDD[[#This Row],[Lvl Sortie]]&gt;=Table_BDD[[#This Row],[T / P]]),"Oui","Non"))))</f>
        <v>Non</v>
      </c>
      <c r="BD13" s="91">
        <f t="array" ref="BD13">IFERROR(INDEX(downloadFile[#All],MATCH(Table_BDD[[#This Row],[Date]],downloadFile[[#All],[Column1]],0),2),BD12)</f>
        <v>1.1048</v>
      </c>
      <c r="BE13" s="89">
        <f>IF(Table_BDD[[#This Row],[Position]]="","",IF(Table_BDD[[#This Row],[Symbole]]="UsaInd",(Table_BDD[[#This Row],[Volume]]*Table_BDD[[#This Row],[Lvl Entrée]])/(Table_BDD[[#This Row],[Equité avant trade]]*Table_BDD[[#This Row],[EUR/USD]]),IF(Table_BDD[[#This Row],[Symbole]]="Ger30",(Table_BDD[[#This Row],[Volume]]*Table_BDD[[#This Row],[Lvl Entrée]])/Table_BDD[[#This Row],[Equité avant trade]],)))</f>
        <v>12.956947523347461</v>
      </c>
      <c r="BF13" s="38">
        <f>IF(Table_BDD[[#This Row],[Position]]="","",IF(Table_BDD[[#This Row],[Conformité]]="Non conforme",0,(MROUND(3*((Table_BDD[[#This Row],[Conviction]]+Table_BDD[[#This Row],[Timing]]+Table_BDD[[#This Row],[Sortie]])+1)-2,1))))</f>
        <v>0</v>
      </c>
      <c r="BG13" s="38" t="str">
        <f>IF(Table_BDD[[#This Row],[Position]]="","",IF(Table_BDD[[#This Row],[Points]]&lt;-5,"--",IF(AND(Table_BDD[[#This Row],[Points]]&gt;=-5,Table_BDD[[#This Row],[Points]]&lt;-1.5),"-",IF(AND(Table_BDD[[#This Row],[Points]]&gt;=-1.5,Table_BDD[[#This Row],[Points]]&lt;1.5),"0",IF(AND(Table_BDD[[#This Row],[Points]]&gt;=1.5,Table_BDD[[#This Row],[Points]]&lt;=70),"+",IF(Table_BDD[[#This Row],[Points]]&gt;70,"++"))))))</f>
        <v>--</v>
      </c>
      <c r="BH13" s="37" t="str">
        <f>IF(Table_BDD[[#This Row],[Position]]="","",IF(Table_BDD[[#This Row],[Points]]&gt;0,"Gagnant",IF(Table_BDD[[#This Row],[Points]]=0,"Flat","Perdant")))</f>
        <v>Perdant</v>
      </c>
      <c r="BI13" s="40">
        <f>IF(Table_BDD[[#This Row],[Position]]="","",IF(Table_BDD[[#This Row],[Résultat]]="Gagnant",1,0))</f>
        <v>0</v>
      </c>
      <c r="BJ13" s="40">
        <f>IF(Table_BDD[[#This Row],[Position]]="","",IF(Table_BDD[[#This Row],[Résultat]]="Perdant",1,0))</f>
        <v>1</v>
      </c>
      <c r="BK13" s="40"/>
      <c r="BL13" s="145">
        <f>IF(Table_BDD[[#This Row],[T / P]]="","",Table_BDD[[#This Row],[T / P]])</f>
        <v>28875.57</v>
      </c>
      <c r="BM13" s="147"/>
      <c r="BN13" s="147"/>
      <c r="BO13" s="147"/>
      <c r="BP13" s="147"/>
      <c r="BQ13" s="127"/>
    </row>
    <row r="14" spans="1:69" x14ac:dyDescent="0.2">
      <c r="A14" s="93">
        <v>43865.652812499997</v>
      </c>
      <c r="B14" s="94">
        <v>259442356</v>
      </c>
      <c r="C14" s="37" t="s">
        <v>8</v>
      </c>
      <c r="D14" s="37" t="s">
        <v>9</v>
      </c>
      <c r="E14" s="37">
        <v>0.5</v>
      </c>
      <c r="F14" s="95">
        <v>28787.69</v>
      </c>
      <c r="G14" s="95">
        <v>28822.69</v>
      </c>
      <c r="H14" s="95">
        <v>28877.69</v>
      </c>
      <c r="I14" s="28">
        <v>43865.663611111115</v>
      </c>
      <c r="J14" s="95">
        <v>28822.68</v>
      </c>
      <c r="K14" s="95">
        <v>0</v>
      </c>
      <c r="L14" s="95">
        <v>0</v>
      </c>
      <c r="M14" s="32">
        <v>15.84</v>
      </c>
      <c r="N14" s="148">
        <f>IF(Table_BDD[[#This Row],[Position]]="","",ROW()-3)</f>
        <v>11</v>
      </c>
      <c r="O14" s="32">
        <f>SUM($L$4:M14)</f>
        <v>16.860000000000003</v>
      </c>
      <c r="P14" s="32">
        <f>Table_BDD[[#This Row],[Equité avant trade]]+Table_BDD[[#This Row],[Profit]]+Table_BDD[[#This Row],[Echange]]</f>
        <v>1016.86</v>
      </c>
      <c r="Q14" s="52">
        <f>INT(Table_BDD[[#This Row],[Horodatage cloture]])</f>
        <v>43865</v>
      </c>
      <c r="R14" s="34">
        <f>WEEKNUM(Table_BDD[[#This Row],[Horodatage cloture]],2)</f>
        <v>6</v>
      </c>
      <c r="S14" s="61">
        <f>WEEKDAY(Table_BDD[[#This Row],[Horodatage cloture]])</f>
        <v>3</v>
      </c>
      <c r="T14" s="63">
        <f>HOUR(Table_BDD[[#This Row],[Horodatage cloture]])</f>
        <v>15</v>
      </c>
      <c r="U14" s="68">
        <f>IF(Table_BDD[[#This Row],[Position]]="","",IF(Table_BDD[[#This Row],[Valeur début de journée unique]]&lt;&gt;0,1,0))</f>
        <v>0</v>
      </c>
      <c r="V14" s="68" t="str">
        <f>IF(Table_BDD[[#This Row],[Nb de séance de trading]]=1,COUNTIF(Table_BDD[Date],Table_BDD[[#This Row],[Date]]),"")</f>
        <v/>
      </c>
      <c r="W14" s="33">
        <f>IF(Table_BDD[[#This Row],[Position]]="","",IF(Table_BDD[[#This Row],[Type]]="buy",ROUND(Table_BDD[[#This Row],[Lvl Entrée]]-Table_BDD[[#This Row],[S / L]],1),ROUND(Table_BDD[[#This Row],[S / L]]-Table_BDD[[#This Row],[Lvl Entrée]],1)))</f>
        <v>-35</v>
      </c>
      <c r="X14" s="33">
        <f>IF(Table_BDD[[#This Row],[Position]]="","",IF(Table_BDD[[#This Row],[T / P]]=0,200,IF(Table_BDD[[#This Row],[Type]]="buy",ROUND(Table_BDD[[#This Row],[T / P]]-Table_BDD[[#This Row],[Lvl Entrée]],1),ROUND(Table_BDD[[#This Row],[Lvl Entrée]]-Table_BDD[[#This Row],[T / P]],1))))</f>
        <v>90</v>
      </c>
      <c r="Y14" s="34">
        <f>IF(Table_BDD[[#This Row],[Position]]="","",IF(Table_BDD[[#This Row],[Ecart du SL]]&gt;0,ROUND(ABS(Table_BDD[[#This Row],[Ecart du TP]])/ABS(Table_BDD[[#This Row],[Ecart du SL]]),1),ROUND(ABS(Table_BDD[[#This Row],[Ecart du TP]])/10,1)))</f>
        <v>9</v>
      </c>
      <c r="Z14" s="34">
        <f>IF(Table_BDD[[#This Row],[Position]]="","",IF(Table_BDD[[#This Row],[Ecart du SL]]&lt;0,IF(AND(Table_BDD[[#This Row],[Profit]]&gt;0,Table_BDD[[#This Row],[Type]]="sell"),ROUND((Table_BDD[[#This Row],[Lvl Entrée]]-Table_BDD[[#This Row],[Lvl Sortie]])/(10),1),IF(AND(Table_BDD[[#This Row],[Profit]]&gt;0,Table_BDD[[#This Row],[Type]]="buy"),ROUND((Table_BDD[[#This Row],[Lvl Sortie]]-Table_BDD[[#This Row],[Lvl Entrée]])/(10),1),)),IF(AND(Table_BDD[[#This Row],[Profit]]&gt;0,Table_BDD[[#This Row],[Type]]="sell"),ROUND((Table_BDD[[#This Row],[Lvl Entrée]]-Table_BDD[[#This Row],[Lvl Sortie]])/(Table_BDD[[#This Row],[S / L]]-Table_BDD[[#This Row],[Lvl Entrée]]),1),IF(AND(Table_BDD[[#This Row],[Profit]]&gt;0,Table_BDD[[#This Row],[Type]]="buy"),ROUND((Table_BDD[[#This Row],[Lvl Sortie]]-Table_BDD[[#This Row],[Lvl Entrée]])/(Table_BDD[[#This Row],[Lvl Entrée]]-Table_BDD[[#This Row],[S / L]]),1),ROUND(Table_BDD[[#This Row],[Points]]/10,1)))))</f>
        <v>3.5</v>
      </c>
      <c r="AA14" s="32">
        <f>IF(Table_BDD[[#This Row],[Position]]="",AA13,Table_BDD[[#This Row],[Equité après trade]]-Table_BDD[[#This Row],[Profit]]-Table_BDD[[#This Row],[Echange]])</f>
        <v>1001.02</v>
      </c>
      <c r="AB14" s="149">
        <f>$B$1+SUM($L$4:M14)</f>
        <v>1016.86</v>
      </c>
      <c r="AC14" s="150">
        <f>IF(Table_BDD[[#This Row],[Position]]="","",_xlfn.MINIFS(Table_BDD[Horodatage ouverture],Table_BDD[Date],Table_BDD[Date]))</f>
        <v>43865.645729166667</v>
      </c>
      <c r="AD14" s="149">
        <f>VLOOKUP(_xlfn.MINIFS(Table_BDD[Horodatage ouverture],Table_BDD[Date],Table_BDD[Date]),Table_BDD[[Horodatage ouverture]:[Heure derniere valeur]],AA$2)</f>
        <v>1010.0300000000001</v>
      </c>
      <c r="AE14" s="149">
        <f>IF(VLOOKUP(_xlfn.MINIFS(Table_BDD[Horodatage ouverture],Table_BDD[Date],Table_BDD[Date]),Table_BDD[[Horodatage ouverture]:[Heure derniere valeur]],AA$2)=Table_BDD[[#This Row],[Equité avant trade]],VLOOKUP(_xlfn.MINIFS(Table_BDD[Horodatage ouverture],Table_BDD[Date],Table_BDD[Date]),Table_BDD[[Horodatage ouverture]:[Heure derniere valeur]],AA$2),0)</f>
        <v>0</v>
      </c>
      <c r="AF14" s="150">
        <f>IF(Table_BDD[[#This Row],[Position]]="","",_xlfn.MAXIFS(Table_BDD[Horodatage ouverture],Table_BDD[Date],Table_BDD[Date]))</f>
        <v>43865.841574074075</v>
      </c>
      <c r="AG14" s="32">
        <f>VLOOKUP(_xlfn.MAXIFS(Table_BDD[Horodatage cloture],Table_BDD[Date],Table_BDD[Date]),Table_BDD[[Horodatage ouverture]:[Heure derniere valeur]],AB$2)</f>
        <v>1011.88</v>
      </c>
      <c r="AH14" s="32">
        <f>IF(VLOOKUP(_xlfn.MAXIFS(Table_BDD[Horodatage cloture],Table_BDD[Date],Table_BDD[Date]),Table_BDD[[Horodatage ouverture]:[Heure derniere valeur]],AB$2)=Table_BDD[[#This Row],[Equité après trade]],VLOOKUP(_xlfn.MAXIFS(Table_BDD[Horodatage cloture],Table_BDD[Date],Table_BDD[Date]),Table_BDD[[Horodatage ouverture]:[Heure derniere valeur]],AB$2),0)</f>
        <v>0</v>
      </c>
      <c r="AI14" s="32" t="e">
        <f>IF(Table_BDD[[#This Row],[Valeur fin de journée unique]]=0,#N/A,Table_BDD[[#This Row],[Valeur fin de journée unique]])</f>
        <v>#N/A</v>
      </c>
      <c r="AJ14" s="35">
        <f>IF(Table_BDD[[#This Row],[Position]]="","",(Table_BDD[[#This Row],[Equité après trade]]-Table_BDD[[#This Row],[Equité avant trade]])/Table_BDD[[#This Row],[Equité avant trade]])</f>
        <v>1.5823859663143626E-2</v>
      </c>
      <c r="AK14" s="35" t="str">
        <f>IFERROR(((INDEX(Table_BDD[[Trade n°]:[Valeur fin de journée unique]],Table_BDD[[#This Row],[Nb de trade du jour]]+Table_BDD[[#This Row],[Trade n°]]-1,21))-Table_BDD[[#This Row],[Valeur début de journée unique]])/Table_BDD[[#This Row],[Valeur début de journée unique]],"")</f>
        <v/>
      </c>
      <c r="AL14" s="32">
        <f>IF(Table_BDD[[#This Row],[Position]]="","",MAX(Table_BDD[[#This Row],[Cumul équité]],AL13))</f>
        <v>1019.44</v>
      </c>
      <c r="AM14" s="32">
        <f>IF(Table_BDD[[#This Row],[Position]]="","",MIN(Table_BDD[[#This Row],[Cumul équité]],AL13))</f>
        <v>1016.86</v>
      </c>
      <c r="AN14" s="97">
        <f>IF(Table_BDD[[#This Row],[Sommet Drawdown]]&gt;AL13,"",Table_BDD[[#This Row],[Creux Drawdown]]/Table_BDD[[#This Row],[Sommet Drawdown]]-1)</f>
        <v>-2.5308012242015732E-3</v>
      </c>
      <c r="AO14" s="36">
        <f>IF(Table_BDD[[#This Row],[Position]]="","",IF(Table_BDD[[#This Row],[Type]]="buy",ROUND(Table_BDD[[#This Row],[Lvl Sortie]]-Table_BDD[[#This Row],[Lvl Entrée]],1),ROUND(Table_BDD[[#This Row],[Lvl Entrée]]-Table_BDD[[#This Row],[Lvl Sortie]],1)))</f>
        <v>35</v>
      </c>
      <c r="AP14" s="36">
        <f>IF(Table_BDD[[#This Row],[Points]]&gt;0,Table_BDD[[#This Row],[Points]],"")</f>
        <v>35</v>
      </c>
      <c r="AQ14" s="36" t="str">
        <f>IF(Table_BDD[[#This Row],[Points]]&lt;0,Table_BDD[[#This Row],[Points]],"")</f>
        <v/>
      </c>
      <c r="AR14" s="36">
        <f>SUM($AO$4:AO14)</f>
        <v>37.100000000000009</v>
      </c>
      <c r="AS14" s="68">
        <f>IF(Table_BDD[[#This Row],[Position]]="","",IF(Table_BDD[[#This Row],[Conformité]]="Conforme",1,0))</f>
        <v>0</v>
      </c>
      <c r="AT14" s="68">
        <f>IF(Table_BDD[[#This Row],[Position]]="","",IF(Table_BDD[[#This Row],[Conformité]]="Non conforme",1,0))</f>
        <v>1</v>
      </c>
      <c r="AU14" s="37" t="s">
        <v>17</v>
      </c>
      <c r="AV14" s="37"/>
      <c r="AW14" s="37"/>
      <c r="AX14" s="37">
        <v>0</v>
      </c>
      <c r="AY14" s="37">
        <v>0</v>
      </c>
      <c r="AZ14" s="37">
        <v>0</v>
      </c>
      <c r="BA14" s="37" t="str">
        <f>IF(Table_BDD[[#This Row],[Position]]="","Sans objet",IF(AND(Table_BDD[[#This Row],[Type]]="sell",Table_BDD[[#This Row],[S / L]]&lt;Table_BDD[[#This Row],[Lvl Entrée]],Table_BDD[[#This Row],[Lvl Sortie]]&lt;=Table_BDD[[#This Row],[S / L]]+2,Table_BDD[[#This Row],[Lvl Sortie]]&lt;Table_BDD[[#This Row],[Lvl Entrée]]-19),"Oui",IF(AND(Table_BDD[[#This Row],[Type]]="buy",Table_BDD[[#This Row],[S / L]]&gt;Table_BDD[[#This Row],[Lvl Entrée]],Table_BDD[[#This Row],[Lvl Sortie]]&gt;=Table_BDD[[#This Row],[S / L]]-2,Table_BDD[[#This Row],[S / L]]&gt;Table_BDD[[#This Row],[Lvl Entrée]]+19),"Oui","Non")))</f>
        <v>Oui</v>
      </c>
      <c r="BB14" s="37" t="str">
        <f>IF(Table_BDD[[#This Row],[Position]]="","Sans objet",IF(AND(Table_BDD[[#This Row],[Type]]="sell",Table_BDD[[#This Row],[S / L]]&lt;Table_BDD[[#This Row],[Lvl Entrée]],Table_BDD[[#This Row],[Points]]&gt;=-1),"Oui",IF(AND(Table_BDD[[#This Row],[Type]]="sell",Table_BDD[[#This Row],[S / L]]&gt;Table_BDD[[#This Row],[Lvl Entrée]]),"Non",IF(AND(Table_BDD[[#This Row],[Type]]="buy",Table_BDD[[#This Row],[S / L]]&lt;Table_BDD[[#This Row],[Lvl Entrée]]),"Non",IF(AND(Table_BDD[[#This Row],[Type]]="buy",Table_BDD[[#This Row],[S / L]]&gt;Table_BDD[[#This Row],[Lvl Entrée]],Table_BDD[[#This Row],[Points]]&gt;=-1),"Oui")))))</f>
        <v>Oui</v>
      </c>
      <c r="BC14" s="37" t="str">
        <f>IF(Table_BDD[[#This Row],[Position]]="","Sans objet",IF(Table_BDD[[#This Row],[T / P]]="","Non",IF(AND(Table_BDD[[#This Row],[Type]]="sell",Table_BDD[[#This Row],[Lvl Sortie]]&lt;=Table_BDD[[#This Row],[T / P]]),"Oui",IF(AND(Table_BDD[[#This Row],[Type]]="buy",Table_BDD[[#This Row],[Lvl Sortie]]&gt;=Table_BDD[[#This Row],[T / P]]),"Oui","Non"))))</f>
        <v>Non</v>
      </c>
      <c r="BD14" s="91">
        <f t="array" ref="BD14">IFERROR(INDEX(downloadFile[#All],MATCH(Table_BDD[[#This Row],[Date]],downloadFile[[#All],[Column1]],0),2),BD13)</f>
        <v>1.1048</v>
      </c>
      <c r="BE14" s="89">
        <f>IF(Table_BDD[[#This Row],[Position]]="","",IF(Table_BDD[[#This Row],[Symbole]]="UsaInd",(Table_BDD[[#This Row],[Volume]]*Table_BDD[[#This Row],[Lvl Entrée]])/(Table_BDD[[#This Row],[Equité avant trade]]*Table_BDD[[#This Row],[EUR/USD]]),IF(Table_BDD[[#This Row],[Symbole]]="Ger30",(Table_BDD[[#This Row],[Volume]]*Table_BDD[[#This Row],[Lvl Entrée]])/Table_BDD[[#This Row],[Equité avant trade]],)))</f>
        <v>13.015186674689572</v>
      </c>
      <c r="BF14" s="38">
        <f>IF(Table_BDD[[#This Row],[Position]]="","",IF(Table_BDD[[#This Row],[Conformité]]="Non conforme",0,(MROUND(3*((Table_BDD[[#This Row],[Conviction]]+Table_BDD[[#This Row],[Timing]]+Table_BDD[[#This Row],[Sortie]])+1)-2,1))))</f>
        <v>0</v>
      </c>
      <c r="BG14" s="38" t="str">
        <f>IF(Table_BDD[[#This Row],[Position]]="","",IF(Table_BDD[[#This Row],[Points]]&lt;-5,"--",IF(AND(Table_BDD[[#This Row],[Points]]&gt;=-5,Table_BDD[[#This Row],[Points]]&lt;-1.5),"-",IF(AND(Table_BDD[[#This Row],[Points]]&gt;=-1.5,Table_BDD[[#This Row],[Points]]&lt;1.5),"0",IF(AND(Table_BDD[[#This Row],[Points]]&gt;=1.5,Table_BDD[[#This Row],[Points]]&lt;=70),"+",IF(Table_BDD[[#This Row],[Points]]&gt;70,"++"))))))</f>
        <v>+</v>
      </c>
      <c r="BH14" s="37" t="str">
        <f>IF(Table_BDD[[#This Row],[Position]]="","",IF(Table_BDD[[#This Row],[Points]]&gt;0,"Gagnant",IF(Table_BDD[[#This Row],[Points]]=0,"Flat","Perdant")))</f>
        <v>Gagnant</v>
      </c>
      <c r="BI14" s="40">
        <f>IF(Table_BDD[[#This Row],[Position]]="","",IF(Table_BDD[[#This Row],[Résultat]]="Gagnant",1,0))</f>
        <v>1</v>
      </c>
      <c r="BJ14" s="40">
        <f>IF(Table_BDD[[#This Row],[Position]]="","",IF(Table_BDD[[#This Row],[Résultat]]="Perdant",1,0))</f>
        <v>0</v>
      </c>
      <c r="BK14" s="40"/>
      <c r="BL14" s="145">
        <f>IF(Table_BDD[[#This Row],[T / P]]="","",Table_BDD[[#This Row],[T / P]])</f>
        <v>28877.69</v>
      </c>
      <c r="BM14" s="147"/>
      <c r="BN14" s="147"/>
      <c r="BO14" s="147"/>
      <c r="BP14" s="147"/>
      <c r="BQ14" s="127"/>
    </row>
    <row r="15" spans="1:69" x14ac:dyDescent="0.2">
      <c r="A15" s="93">
        <v>43865.717129629629</v>
      </c>
      <c r="B15" s="94">
        <v>259451567</v>
      </c>
      <c r="C15" s="37" t="s">
        <v>8</v>
      </c>
      <c r="D15" s="37" t="s">
        <v>9</v>
      </c>
      <c r="E15" s="37">
        <v>0.5</v>
      </c>
      <c r="F15" s="95">
        <v>28830.68</v>
      </c>
      <c r="G15" s="95">
        <v>28832.18</v>
      </c>
      <c r="H15" s="95">
        <v>28911.88</v>
      </c>
      <c r="I15" s="28">
        <v>43865.718124999999</v>
      </c>
      <c r="J15" s="95">
        <v>28831.56</v>
      </c>
      <c r="K15" s="95">
        <v>0</v>
      </c>
      <c r="L15" s="95">
        <v>0</v>
      </c>
      <c r="M15" s="32">
        <v>0.4</v>
      </c>
      <c r="N15" s="148">
        <f>IF(Table_BDD[[#This Row],[Position]]="","",ROW()-3)</f>
        <v>12</v>
      </c>
      <c r="O15" s="32">
        <f>SUM($L$4:M15)</f>
        <v>17.260000000000002</v>
      </c>
      <c r="P15" s="32">
        <f>Table_BDD[[#This Row],[Equité avant trade]]+Table_BDD[[#This Row],[Profit]]+Table_BDD[[#This Row],[Echange]]</f>
        <v>1017.26</v>
      </c>
      <c r="Q15" s="52">
        <f>INT(Table_BDD[[#This Row],[Horodatage cloture]])</f>
        <v>43865</v>
      </c>
      <c r="R15" s="34">
        <f>WEEKNUM(Table_BDD[[#This Row],[Horodatage cloture]],2)</f>
        <v>6</v>
      </c>
      <c r="S15" s="61">
        <f>WEEKDAY(Table_BDD[[#This Row],[Horodatage cloture]])</f>
        <v>3</v>
      </c>
      <c r="T15" s="63">
        <f>HOUR(Table_BDD[[#This Row],[Horodatage cloture]])</f>
        <v>17</v>
      </c>
      <c r="U15" s="68">
        <f>IF(Table_BDD[[#This Row],[Position]]="","",IF(Table_BDD[[#This Row],[Valeur début de journée unique]]&lt;&gt;0,1,0))</f>
        <v>0</v>
      </c>
      <c r="V15" s="68" t="str">
        <f>IF(Table_BDD[[#This Row],[Nb de séance de trading]]=1,COUNTIF(Table_BDD[Date],Table_BDD[[#This Row],[Date]]),"")</f>
        <v/>
      </c>
      <c r="W15" s="33">
        <f>IF(Table_BDD[[#This Row],[Position]]="","",IF(Table_BDD[[#This Row],[Type]]="buy",ROUND(Table_BDD[[#This Row],[Lvl Entrée]]-Table_BDD[[#This Row],[S / L]],1),ROUND(Table_BDD[[#This Row],[S / L]]-Table_BDD[[#This Row],[Lvl Entrée]],1)))</f>
        <v>-1.5</v>
      </c>
      <c r="X15" s="33">
        <f>IF(Table_BDD[[#This Row],[Position]]="","",IF(Table_BDD[[#This Row],[T / P]]=0,200,IF(Table_BDD[[#This Row],[Type]]="buy",ROUND(Table_BDD[[#This Row],[T / P]]-Table_BDD[[#This Row],[Lvl Entrée]],1),ROUND(Table_BDD[[#This Row],[Lvl Entrée]]-Table_BDD[[#This Row],[T / P]],1))))</f>
        <v>81.2</v>
      </c>
      <c r="Y15" s="34">
        <f>IF(Table_BDD[[#This Row],[Position]]="","",IF(Table_BDD[[#This Row],[Ecart du SL]]&gt;0,ROUND(ABS(Table_BDD[[#This Row],[Ecart du TP]])/ABS(Table_BDD[[#This Row],[Ecart du SL]]),1),ROUND(ABS(Table_BDD[[#This Row],[Ecart du TP]])/10,1)))</f>
        <v>8.1</v>
      </c>
      <c r="Z15" s="34">
        <f>IF(Table_BDD[[#This Row],[Position]]="","",IF(Table_BDD[[#This Row],[Ecart du SL]]&lt;0,IF(AND(Table_BDD[[#This Row],[Profit]]&gt;0,Table_BDD[[#This Row],[Type]]="sell"),ROUND((Table_BDD[[#This Row],[Lvl Entrée]]-Table_BDD[[#This Row],[Lvl Sortie]])/(10),1),IF(AND(Table_BDD[[#This Row],[Profit]]&gt;0,Table_BDD[[#This Row],[Type]]="buy"),ROUND((Table_BDD[[#This Row],[Lvl Sortie]]-Table_BDD[[#This Row],[Lvl Entrée]])/(10),1),)),IF(AND(Table_BDD[[#This Row],[Profit]]&gt;0,Table_BDD[[#This Row],[Type]]="sell"),ROUND((Table_BDD[[#This Row],[Lvl Entrée]]-Table_BDD[[#This Row],[Lvl Sortie]])/(Table_BDD[[#This Row],[S / L]]-Table_BDD[[#This Row],[Lvl Entrée]]),1),IF(AND(Table_BDD[[#This Row],[Profit]]&gt;0,Table_BDD[[#This Row],[Type]]="buy"),ROUND((Table_BDD[[#This Row],[Lvl Sortie]]-Table_BDD[[#This Row],[Lvl Entrée]])/(Table_BDD[[#This Row],[Lvl Entrée]]-Table_BDD[[#This Row],[S / L]]),1),ROUND(Table_BDD[[#This Row],[Points]]/10,1)))))</f>
        <v>0.1</v>
      </c>
      <c r="AA15" s="32">
        <f>IF(Table_BDD[[#This Row],[Position]]="",AA14,Table_BDD[[#This Row],[Equité après trade]]-Table_BDD[[#This Row],[Profit]]-Table_BDD[[#This Row],[Echange]])</f>
        <v>1016.86</v>
      </c>
      <c r="AB15" s="149">
        <f>$B$1+SUM($L$4:M15)</f>
        <v>1017.26</v>
      </c>
      <c r="AC15" s="150">
        <f>IF(Table_BDD[[#This Row],[Position]]="","",_xlfn.MINIFS(Table_BDD[Horodatage ouverture],Table_BDD[Date],Table_BDD[Date]))</f>
        <v>43865.645729166667</v>
      </c>
      <c r="AD15" s="149">
        <f>VLOOKUP(_xlfn.MINIFS(Table_BDD[Horodatage ouverture],Table_BDD[Date],Table_BDD[Date]),Table_BDD[[Horodatage ouverture]:[Heure derniere valeur]],AA$2)</f>
        <v>1010.0300000000001</v>
      </c>
      <c r="AE15" s="149">
        <f>IF(VLOOKUP(_xlfn.MINIFS(Table_BDD[Horodatage ouverture],Table_BDD[Date],Table_BDD[Date]),Table_BDD[[Horodatage ouverture]:[Heure derniere valeur]],AA$2)=Table_BDD[[#This Row],[Equité avant trade]],VLOOKUP(_xlfn.MINIFS(Table_BDD[Horodatage ouverture],Table_BDD[Date],Table_BDD[Date]),Table_BDD[[Horodatage ouverture]:[Heure derniere valeur]],AA$2),0)</f>
        <v>0</v>
      </c>
      <c r="AF15" s="150">
        <f>IF(Table_BDD[[#This Row],[Position]]="","",_xlfn.MAXIFS(Table_BDD[Horodatage ouverture],Table_BDD[Date],Table_BDD[Date]))</f>
        <v>43865.841574074075</v>
      </c>
      <c r="AG15" s="32">
        <f>VLOOKUP(_xlfn.MAXIFS(Table_BDD[Horodatage cloture],Table_BDD[Date],Table_BDD[Date]),Table_BDD[[Horodatage ouverture]:[Heure derniere valeur]],AB$2)</f>
        <v>1011.88</v>
      </c>
      <c r="AH15" s="32">
        <f>IF(VLOOKUP(_xlfn.MAXIFS(Table_BDD[Horodatage cloture],Table_BDD[Date],Table_BDD[Date]),Table_BDD[[Horodatage ouverture]:[Heure derniere valeur]],AB$2)=Table_BDD[[#This Row],[Equité après trade]],VLOOKUP(_xlfn.MAXIFS(Table_BDD[Horodatage cloture],Table_BDD[Date],Table_BDD[Date]),Table_BDD[[Horodatage ouverture]:[Heure derniere valeur]],AB$2),0)</f>
        <v>0</v>
      </c>
      <c r="AI15" s="32" t="e">
        <f>IF(Table_BDD[[#This Row],[Valeur fin de journée unique]]=0,#N/A,Table_BDD[[#This Row],[Valeur fin de journée unique]])</f>
        <v>#N/A</v>
      </c>
      <c r="AJ15" s="35">
        <f>IF(Table_BDD[[#This Row],[Position]]="","",(Table_BDD[[#This Row],[Equité après trade]]-Table_BDD[[#This Row],[Equité avant trade]])/Table_BDD[[#This Row],[Equité avant trade]])</f>
        <v>3.9336781857873972E-4</v>
      </c>
      <c r="AK15" s="35" t="str">
        <f>IFERROR(((INDEX(Table_BDD[[Trade n°]:[Valeur fin de journée unique]],Table_BDD[[#This Row],[Nb de trade du jour]]+Table_BDD[[#This Row],[Trade n°]]-1,21))-Table_BDD[[#This Row],[Valeur début de journée unique]])/Table_BDD[[#This Row],[Valeur début de journée unique]],"")</f>
        <v/>
      </c>
      <c r="AL15" s="32">
        <f>IF(Table_BDD[[#This Row],[Position]]="","",MAX(Table_BDD[[#This Row],[Cumul équité]],AL14))</f>
        <v>1019.44</v>
      </c>
      <c r="AM15" s="32">
        <f>IF(Table_BDD[[#This Row],[Position]]="","",MIN(Table_BDD[[#This Row],[Cumul équité]],AL14))</f>
        <v>1017.26</v>
      </c>
      <c r="AN15" s="97">
        <f>IF(Table_BDD[[#This Row],[Sommet Drawdown]]&gt;AL14,"",Table_BDD[[#This Row],[Creux Drawdown]]/Table_BDD[[#This Row],[Sommet Drawdown]]-1)</f>
        <v>-2.1384289413796109E-3</v>
      </c>
      <c r="AO15" s="36">
        <f>IF(Table_BDD[[#This Row],[Position]]="","",IF(Table_BDD[[#This Row],[Type]]="buy",ROUND(Table_BDD[[#This Row],[Lvl Sortie]]-Table_BDD[[#This Row],[Lvl Entrée]],1),ROUND(Table_BDD[[#This Row],[Lvl Entrée]]-Table_BDD[[#This Row],[Lvl Sortie]],1)))</f>
        <v>0.9</v>
      </c>
      <c r="AP15" s="36">
        <f>IF(Table_BDD[[#This Row],[Points]]&gt;0,Table_BDD[[#This Row],[Points]],"")</f>
        <v>0.9</v>
      </c>
      <c r="AQ15" s="36" t="str">
        <f>IF(Table_BDD[[#This Row],[Points]]&lt;0,Table_BDD[[#This Row],[Points]],"")</f>
        <v/>
      </c>
      <c r="AR15" s="36">
        <f>SUM($AO$4:AO15)</f>
        <v>38.000000000000007</v>
      </c>
      <c r="AS15" s="68">
        <f>IF(Table_BDD[[#This Row],[Position]]="","",IF(Table_BDD[[#This Row],[Conformité]]="Conforme",1,0))</f>
        <v>0</v>
      </c>
      <c r="AT15" s="68">
        <f>IF(Table_BDD[[#This Row],[Position]]="","",IF(Table_BDD[[#This Row],[Conformité]]="Non conforme",1,0))</f>
        <v>1</v>
      </c>
      <c r="AU15" s="37" t="s">
        <v>17</v>
      </c>
      <c r="AV15" s="37"/>
      <c r="AW15" s="37"/>
      <c r="AX15" s="37">
        <v>0</v>
      </c>
      <c r="AY15" s="37">
        <v>0</v>
      </c>
      <c r="AZ15" s="37">
        <v>0</v>
      </c>
      <c r="BA15" s="37" t="str">
        <f>IF(Table_BDD[[#This Row],[Position]]="","Sans objet",IF(AND(Table_BDD[[#This Row],[Type]]="sell",Table_BDD[[#This Row],[S / L]]&lt;Table_BDD[[#This Row],[Lvl Entrée]],Table_BDD[[#This Row],[Lvl Sortie]]&lt;=Table_BDD[[#This Row],[S / L]]+2,Table_BDD[[#This Row],[Lvl Sortie]]&lt;Table_BDD[[#This Row],[Lvl Entrée]]-19),"Oui",IF(AND(Table_BDD[[#This Row],[Type]]="buy",Table_BDD[[#This Row],[S / L]]&gt;Table_BDD[[#This Row],[Lvl Entrée]],Table_BDD[[#This Row],[Lvl Sortie]]&gt;=Table_BDD[[#This Row],[S / L]]-2,Table_BDD[[#This Row],[S / L]]&gt;Table_BDD[[#This Row],[Lvl Entrée]]+19),"Oui","Non")))</f>
        <v>Non</v>
      </c>
      <c r="BB15" s="37" t="str">
        <f>IF(Table_BDD[[#This Row],[Position]]="","Sans objet",IF(AND(Table_BDD[[#This Row],[Type]]="sell",Table_BDD[[#This Row],[S / L]]&lt;Table_BDD[[#This Row],[Lvl Entrée]],Table_BDD[[#This Row],[Points]]&gt;=-1),"Oui",IF(AND(Table_BDD[[#This Row],[Type]]="sell",Table_BDD[[#This Row],[S / L]]&gt;Table_BDD[[#This Row],[Lvl Entrée]]),"Non",IF(AND(Table_BDD[[#This Row],[Type]]="buy",Table_BDD[[#This Row],[S / L]]&lt;Table_BDD[[#This Row],[Lvl Entrée]]),"Non",IF(AND(Table_BDD[[#This Row],[Type]]="buy",Table_BDD[[#This Row],[S / L]]&gt;Table_BDD[[#This Row],[Lvl Entrée]],Table_BDD[[#This Row],[Points]]&gt;=-1),"Oui")))))</f>
        <v>Oui</v>
      </c>
      <c r="BC15" s="37" t="str">
        <f>IF(Table_BDD[[#This Row],[Position]]="","Sans objet",IF(Table_BDD[[#This Row],[T / P]]="","Non",IF(AND(Table_BDD[[#This Row],[Type]]="sell",Table_BDD[[#This Row],[Lvl Sortie]]&lt;=Table_BDD[[#This Row],[T / P]]),"Oui",IF(AND(Table_BDD[[#This Row],[Type]]="buy",Table_BDD[[#This Row],[Lvl Sortie]]&gt;=Table_BDD[[#This Row],[T / P]]),"Oui","Non"))))</f>
        <v>Non</v>
      </c>
      <c r="BD15" s="91">
        <f t="array" ref="BD15">IFERROR(INDEX(downloadFile[#All],MATCH(Table_BDD[[#This Row],[Date]],downloadFile[[#All],[Column1]],0),2),BD14)</f>
        <v>1.1048</v>
      </c>
      <c r="BE15" s="89">
        <f>IF(Table_BDD[[#This Row],[Position]]="","",IF(Table_BDD[[#This Row],[Symbole]]="UsaInd",(Table_BDD[[#This Row],[Volume]]*Table_BDD[[#This Row],[Lvl Entrée]])/(Table_BDD[[#This Row],[Equité avant trade]]*Table_BDD[[#This Row],[EUR/USD]]),IF(Table_BDD[[#This Row],[Symbole]]="Ger30",(Table_BDD[[#This Row],[Volume]]*Table_BDD[[#This Row],[Lvl Entrée]])/Table_BDD[[#This Row],[Equité avant trade]],)))</f>
        <v>12.831577773966265</v>
      </c>
      <c r="BF15" s="38">
        <f>IF(Table_BDD[[#This Row],[Position]]="","",IF(Table_BDD[[#This Row],[Conformité]]="Non conforme",0,(MROUND(3*((Table_BDD[[#This Row],[Conviction]]+Table_BDD[[#This Row],[Timing]]+Table_BDD[[#This Row],[Sortie]])+1)-2,1))))</f>
        <v>0</v>
      </c>
      <c r="BG15" s="38" t="str">
        <f>IF(Table_BDD[[#This Row],[Position]]="","",IF(Table_BDD[[#This Row],[Points]]&lt;-5,"--",IF(AND(Table_BDD[[#This Row],[Points]]&gt;=-5,Table_BDD[[#This Row],[Points]]&lt;-1.5),"-",IF(AND(Table_BDD[[#This Row],[Points]]&gt;=-1.5,Table_BDD[[#This Row],[Points]]&lt;1.5),"0",IF(AND(Table_BDD[[#This Row],[Points]]&gt;=1.5,Table_BDD[[#This Row],[Points]]&lt;=70),"+",IF(Table_BDD[[#This Row],[Points]]&gt;70,"++"))))))</f>
        <v>0</v>
      </c>
      <c r="BH15" s="37" t="str">
        <f>IF(Table_BDD[[#This Row],[Position]]="","",IF(Table_BDD[[#This Row],[Points]]&gt;0,"Gagnant",IF(Table_BDD[[#This Row],[Points]]=0,"Flat","Perdant")))</f>
        <v>Gagnant</v>
      </c>
      <c r="BI15" s="40">
        <f>IF(Table_BDD[[#This Row],[Position]]="","",IF(Table_BDD[[#This Row],[Résultat]]="Gagnant",1,0))</f>
        <v>1</v>
      </c>
      <c r="BJ15" s="40">
        <f>IF(Table_BDD[[#This Row],[Position]]="","",IF(Table_BDD[[#This Row],[Résultat]]="Perdant",1,0))</f>
        <v>0</v>
      </c>
      <c r="BK15" s="40"/>
      <c r="BL15" s="145">
        <f>IF(Table_BDD[[#This Row],[T / P]]="","",Table_BDD[[#This Row],[T / P]])</f>
        <v>28911.88</v>
      </c>
      <c r="BM15" s="147"/>
      <c r="BN15" s="147"/>
      <c r="BO15" s="147"/>
      <c r="BP15" s="147"/>
      <c r="BQ15" s="127"/>
    </row>
    <row r="16" spans="1:69" x14ac:dyDescent="0.2">
      <c r="A16" s="93">
        <v>43865.727083333331</v>
      </c>
      <c r="B16" s="94">
        <v>259453017</v>
      </c>
      <c r="C16" s="37" t="s">
        <v>8</v>
      </c>
      <c r="D16" s="37" t="s">
        <v>10</v>
      </c>
      <c r="E16" s="37">
        <v>0.5</v>
      </c>
      <c r="F16" s="95">
        <v>28874.5</v>
      </c>
      <c r="G16" s="95">
        <v>28884.5</v>
      </c>
      <c r="H16" s="95">
        <v>28874.49</v>
      </c>
      <c r="I16" s="28">
        <v>43865.72861111111</v>
      </c>
      <c r="J16" s="95">
        <v>28884.79</v>
      </c>
      <c r="K16" s="95">
        <v>0</v>
      </c>
      <c r="L16" s="95">
        <v>0</v>
      </c>
      <c r="M16" s="32">
        <v>-4.67</v>
      </c>
      <c r="N16" s="148">
        <f>IF(Table_BDD[[#This Row],[Position]]="","",ROW()-3)</f>
        <v>13</v>
      </c>
      <c r="O16" s="32">
        <f>SUM($L$4:M16)</f>
        <v>12.590000000000002</v>
      </c>
      <c r="P16" s="32">
        <f>Table_BDD[[#This Row],[Equité avant trade]]+Table_BDD[[#This Row],[Profit]]+Table_BDD[[#This Row],[Echange]]</f>
        <v>1012.59</v>
      </c>
      <c r="Q16" s="52">
        <f>INT(Table_BDD[[#This Row],[Horodatage cloture]])</f>
        <v>43865</v>
      </c>
      <c r="R16" s="34">
        <f>WEEKNUM(Table_BDD[[#This Row],[Horodatage cloture]],2)</f>
        <v>6</v>
      </c>
      <c r="S16" s="61">
        <f>WEEKDAY(Table_BDD[[#This Row],[Horodatage cloture]])</f>
        <v>3</v>
      </c>
      <c r="T16" s="63">
        <f>HOUR(Table_BDD[[#This Row],[Horodatage cloture]])</f>
        <v>17</v>
      </c>
      <c r="U16" s="68">
        <f>IF(Table_BDD[[#This Row],[Position]]="","",IF(Table_BDD[[#This Row],[Valeur début de journée unique]]&lt;&gt;0,1,0))</f>
        <v>0</v>
      </c>
      <c r="V16" s="68" t="str">
        <f>IF(Table_BDD[[#This Row],[Nb de séance de trading]]=1,COUNTIF(Table_BDD[Date],Table_BDD[[#This Row],[Date]]),"")</f>
        <v/>
      </c>
      <c r="W16" s="33">
        <f>IF(Table_BDD[[#This Row],[Position]]="","",IF(Table_BDD[[#This Row],[Type]]="buy",ROUND(Table_BDD[[#This Row],[Lvl Entrée]]-Table_BDD[[#This Row],[S / L]],1),ROUND(Table_BDD[[#This Row],[S / L]]-Table_BDD[[#This Row],[Lvl Entrée]],1)))</f>
        <v>10</v>
      </c>
      <c r="X16" s="33">
        <f>IF(Table_BDD[[#This Row],[Position]]="","",IF(Table_BDD[[#This Row],[T / P]]=0,200,IF(Table_BDD[[#This Row],[Type]]="buy",ROUND(Table_BDD[[#This Row],[T / P]]-Table_BDD[[#This Row],[Lvl Entrée]],1),ROUND(Table_BDD[[#This Row],[Lvl Entrée]]-Table_BDD[[#This Row],[T / P]],1))))</f>
        <v>0</v>
      </c>
      <c r="Y16" s="34">
        <f>IF(Table_BDD[[#This Row],[Position]]="","",IF(Table_BDD[[#This Row],[Ecart du SL]]&gt;0,ROUND(ABS(Table_BDD[[#This Row],[Ecart du TP]])/ABS(Table_BDD[[#This Row],[Ecart du SL]]),1),ROUND(ABS(Table_BDD[[#This Row],[Ecart du TP]])/10,1)))</f>
        <v>0</v>
      </c>
      <c r="Z16" s="34">
        <f>IF(Table_BDD[[#This Row],[Position]]="","",IF(Table_BDD[[#This Row],[Ecart du SL]]&lt;0,IF(AND(Table_BDD[[#This Row],[Profit]]&gt;0,Table_BDD[[#This Row],[Type]]="sell"),ROUND((Table_BDD[[#This Row],[Lvl Entrée]]-Table_BDD[[#This Row],[Lvl Sortie]])/(10),1),IF(AND(Table_BDD[[#This Row],[Profit]]&gt;0,Table_BDD[[#This Row],[Type]]="buy"),ROUND((Table_BDD[[#This Row],[Lvl Sortie]]-Table_BDD[[#This Row],[Lvl Entrée]])/(10),1),)),IF(AND(Table_BDD[[#This Row],[Profit]]&gt;0,Table_BDD[[#This Row],[Type]]="sell"),ROUND((Table_BDD[[#This Row],[Lvl Entrée]]-Table_BDD[[#This Row],[Lvl Sortie]])/(Table_BDD[[#This Row],[S / L]]-Table_BDD[[#This Row],[Lvl Entrée]]),1),IF(AND(Table_BDD[[#This Row],[Profit]]&gt;0,Table_BDD[[#This Row],[Type]]="buy"),ROUND((Table_BDD[[#This Row],[Lvl Sortie]]-Table_BDD[[#This Row],[Lvl Entrée]])/(Table_BDD[[#This Row],[Lvl Entrée]]-Table_BDD[[#This Row],[S / L]]),1),ROUND(Table_BDD[[#This Row],[Points]]/10,1)))))</f>
        <v>-1</v>
      </c>
      <c r="AA16" s="32">
        <f>IF(Table_BDD[[#This Row],[Position]]="",AA15,Table_BDD[[#This Row],[Equité après trade]]-Table_BDD[[#This Row],[Profit]]-Table_BDD[[#This Row],[Echange]])</f>
        <v>1017.26</v>
      </c>
      <c r="AB16" s="149">
        <f>$B$1+SUM($L$4:M16)</f>
        <v>1012.59</v>
      </c>
      <c r="AC16" s="150">
        <f>IF(Table_BDD[[#This Row],[Position]]="","",_xlfn.MINIFS(Table_BDD[Horodatage ouverture],Table_BDD[Date],Table_BDD[Date]))</f>
        <v>43865.645729166667</v>
      </c>
      <c r="AD16" s="149">
        <f>VLOOKUP(_xlfn.MINIFS(Table_BDD[Horodatage ouverture],Table_BDD[Date],Table_BDD[Date]),Table_BDD[[Horodatage ouverture]:[Heure derniere valeur]],AA$2)</f>
        <v>1010.0300000000001</v>
      </c>
      <c r="AE16" s="149">
        <f>IF(VLOOKUP(_xlfn.MINIFS(Table_BDD[Horodatage ouverture],Table_BDD[Date],Table_BDD[Date]),Table_BDD[[Horodatage ouverture]:[Heure derniere valeur]],AA$2)=Table_BDD[[#This Row],[Equité avant trade]],VLOOKUP(_xlfn.MINIFS(Table_BDD[Horodatage ouverture],Table_BDD[Date],Table_BDD[Date]),Table_BDD[[Horodatage ouverture]:[Heure derniere valeur]],AA$2),0)</f>
        <v>0</v>
      </c>
      <c r="AF16" s="150">
        <f>IF(Table_BDD[[#This Row],[Position]]="","",_xlfn.MAXIFS(Table_BDD[Horodatage ouverture],Table_BDD[Date],Table_BDD[Date]))</f>
        <v>43865.841574074075</v>
      </c>
      <c r="AG16" s="32">
        <f>VLOOKUP(_xlfn.MAXIFS(Table_BDD[Horodatage cloture],Table_BDD[Date],Table_BDD[Date]),Table_BDD[[Horodatage ouverture]:[Heure derniere valeur]],AB$2)</f>
        <v>1011.88</v>
      </c>
      <c r="AH16" s="32">
        <f>IF(VLOOKUP(_xlfn.MAXIFS(Table_BDD[Horodatage cloture],Table_BDD[Date],Table_BDD[Date]),Table_BDD[[Horodatage ouverture]:[Heure derniere valeur]],AB$2)=Table_BDD[[#This Row],[Equité après trade]],VLOOKUP(_xlfn.MAXIFS(Table_BDD[Horodatage cloture],Table_BDD[Date],Table_BDD[Date]),Table_BDD[[Horodatage ouverture]:[Heure derniere valeur]],AB$2),0)</f>
        <v>0</v>
      </c>
      <c r="AI16" s="32" t="e">
        <f>IF(Table_BDD[[#This Row],[Valeur fin de journée unique]]=0,#N/A,Table_BDD[[#This Row],[Valeur fin de journée unique]])</f>
        <v>#N/A</v>
      </c>
      <c r="AJ16" s="35">
        <f>IF(Table_BDD[[#This Row],[Position]]="","",(Table_BDD[[#This Row],[Equité après trade]]-Table_BDD[[#This Row],[Equité avant trade]])/Table_BDD[[#This Row],[Equité avant trade]])</f>
        <v>-4.5907634233135668E-3</v>
      </c>
      <c r="AK16" s="35" t="str">
        <f>IFERROR(((INDEX(Table_BDD[[Trade n°]:[Valeur fin de journée unique]],Table_BDD[[#This Row],[Nb de trade du jour]]+Table_BDD[[#This Row],[Trade n°]]-1,21))-Table_BDD[[#This Row],[Valeur début de journée unique]])/Table_BDD[[#This Row],[Valeur début de journée unique]],"")</f>
        <v/>
      </c>
      <c r="AL16" s="32">
        <f>IF(Table_BDD[[#This Row],[Position]]="","",MAX(Table_BDD[[#This Row],[Cumul équité]],AL15))</f>
        <v>1019.44</v>
      </c>
      <c r="AM16" s="32">
        <f>IF(Table_BDD[[#This Row],[Position]]="","",MIN(Table_BDD[[#This Row],[Cumul équité]],AL15))</f>
        <v>1012.59</v>
      </c>
      <c r="AN16" s="97">
        <f>IF(Table_BDD[[#This Row],[Sommet Drawdown]]&gt;AL15,"",Table_BDD[[#This Row],[Creux Drawdown]]/Table_BDD[[#This Row],[Sommet Drawdown]]-1)</f>
        <v>-6.7193753433257841E-3</v>
      </c>
      <c r="AO16" s="36">
        <f>IF(Table_BDD[[#This Row],[Position]]="","",IF(Table_BDD[[#This Row],[Type]]="buy",ROUND(Table_BDD[[#This Row],[Lvl Sortie]]-Table_BDD[[#This Row],[Lvl Entrée]],1),ROUND(Table_BDD[[#This Row],[Lvl Entrée]]-Table_BDD[[#This Row],[Lvl Sortie]],1)))</f>
        <v>-10.3</v>
      </c>
      <c r="AP16" s="36" t="str">
        <f>IF(Table_BDD[[#This Row],[Points]]&gt;0,Table_BDD[[#This Row],[Points]],"")</f>
        <v/>
      </c>
      <c r="AQ16" s="36">
        <f>IF(Table_BDD[[#This Row],[Points]]&lt;0,Table_BDD[[#This Row],[Points]],"")</f>
        <v>-10.3</v>
      </c>
      <c r="AR16" s="36">
        <f>SUM($AO$4:AO16)</f>
        <v>27.700000000000006</v>
      </c>
      <c r="AS16" s="68">
        <f>IF(Table_BDD[[#This Row],[Position]]="","",IF(Table_BDD[[#This Row],[Conformité]]="Conforme",1,0))</f>
        <v>0</v>
      </c>
      <c r="AT16" s="68">
        <f>IF(Table_BDD[[#This Row],[Position]]="","",IF(Table_BDD[[#This Row],[Conformité]]="Non conforme",1,0))</f>
        <v>1</v>
      </c>
      <c r="AU16" s="37" t="s">
        <v>17</v>
      </c>
      <c r="AV16" s="37"/>
      <c r="AW16" s="37"/>
      <c r="AX16" s="37">
        <v>0</v>
      </c>
      <c r="AY16" s="37">
        <v>0</v>
      </c>
      <c r="AZ16" s="37">
        <v>0</v>
      </c>
      <c r="BA16" s="37" t="str">
        <f>IF(Table_BDD[[#This Row],[Position]]="","Sans objet",IF(AND(Table_BDD[[#This Row],[Type]]="sell",Table_BDD[[#This Row],[S / L]]&lt;Table_BDD[[#This Row],[Lvl Entrée]],Table_BDD[[#This Row],[Lvl Sortie]]&lt;=Table_BDD[[#This Row],[S / L]]+2,Table_BDD[[#This Row],[Lvl Sortie]]&lt;Table_BDD[[#This Row],[Lvl Entrée]]-19),"Oui",IF(AND(Table_BDD[[#This Row],[Type]]="buy",Table_BDD[[#This Row],[S / L]]&gt;Table_BDD[[#This Row],[Lvl Entrée]],Table_BDD[[#This Row],[Lvl Sortie]]&gt;=Table_BDD[[#This Row],[S / L]]-2,Table_BDD[[#This Row],[S / L]]&gt;Table_BDD[[#This Row],[Lvl Entrée]]+19),"Oui","Non")))</f>
        <v>Non</v>
      </c>
      <c r="BB16" s="37" t="str">
        <f>IF(Table_BDD[[#This Row],[Position]]="","Sans objet",IF(AND(Table_BDD[[#This Row],[Type]]="sell",Table_BDD[[#This Row],[S / L]]&lt;Table_BDD[[#This Row],[Lvl Entrée]],Table_BDD[[#This Row],[Points]]&gt;=-1),"Oui",IF(AND(Table_BDD[[#This Row],[Type]]="sell",Table_BDD[[#This Row],[S / L]]&gt;Table_BDD[[#This Row],[Lvl Entrée]]),"Non",IF(AND(Table_BDD[[#This Row],[Type]]="buy",Table_BDD[[#This Row],[S / L]]&lt;Table_BDD[[#This Row],[Lvl Entrée]]),"Non",IF(AND(Table_BDD[[#This Row],[Type]]="buy",Table_BDD[[#This Row],[S / L]]&gt;Table_BDD[[#This Row],[Lvl Entrée]],Table_BDD[[#This Row],[Points]]&gt;=-1),"Oui")))))</f>
        <v>Non</v>
      </c>
      <c r="BC16" s="37" t="str">
        <f>IF(Table_BDD[[#This Row],[Position]]="","Sans objet",IF(Table_BDD[[#This Row],[T / P]]="","Non",IF(AND(Table_BDD[[#This Row],[Type]]="sell",Table_BDD[[#This Row],[Lvl Sortie]]&lt;=Table_BDD[[#This Row],[T / P]]),"Oui",IF(AND(Table_BDD[[#This Row],[Type]]="buy",Table_BDD[[#This Row],[Lvl Sortie]]&gt;=Table_BDD[[#This Row],[T / P]]),"Oui","Non"))))</f>
        <v>Non</v>
      </c>
      <c r="BD16" s="91">
        <f t="array" ref="BD16">IFERROR(INDEX(downloadFile[#All],MATCH(Table_BDD[[#This Row],[Date]],downloadFile[[#All],[Column1]],0),2),BD15)</f>
        <v>1.1048</v>
      </c>
      <c r="BE16" s="89">
        <f>IF(Table_BDD[[#This Row],[Position]]="","",IF(Table_BDD[[#This Row],[Symbole]]="UsaInd",(Table_BDD[[#This Row],[Volume]]*Table_BDD[[#This Row],[Lvl Entrée]])/(Table_BDD[[#This Row],[Equité avant trade]]*Table_BDD[[#This Row],[EUR/USD]]),IF(Table_BDD[[#This Row],[Symbole]]="Ger30",(Table_BDD[[#This Row],[Volume]]*Table_BDD[[#This Row],[Lvl Entrée]])/Table_BDD[[#This Row],[Equité avant trade]],)))</f>
        <v>12.846027386284488</v>
      </c>
      <c r="BF16" s="38">
        <f>IF(Table_BDD[[#This Row],[Position]]="","",IF(Table_BDD[[#This Row],[Conformité]]="Non conforme",0,(MROUND(3*((Table_BDD[[#This Row],[Conviction]]+Table_BDD[[#This Row],[Timing]]+Table_BDD[[#This Row],[Sortie]])+1)-2,1))))</f>
        <v>0</v>
      </c>
      <c r="BG16" s="38" t="str">
        <f>IF(Table_BDD[[#This Row],[Position]]="","",IF(Table_BDD[[#This Row],[Points]]&lt;-5,"--",IF(AND(Table_BDD[[#This Row],[Points]]&gt;=-5,Table_BDD[[#This Row],[Points]]&lt;-1.5),"-",IF(AND(Table_BDD[[#This Row],[Points]]&gt;=-1.5,Table_BDD[[#This Row],[Points]]&lt;1.5),"0",IF(AND(Table_BDD[[#This Row],[Points]]&gt;=1.5,Table_BDD[[#This Row],[Points]]&lt;=70),"+",IF(Table_BDD[[#This Row],[Points]]&gt;70,"++"))))))</f>
        <v>--</v>
      </c>
      <c r="BH16" s="37" t="str">
        <f>IF(Table_BDD[[#This Row],[Position]]="","",IF(Table_BDD[[#This Row],[Points]]&gt;0,"Gagnant",IF(Table_BDD[[#This Row],[Points]]=0,"Flat","Perdant")))</f>
        <v>Perdant</v>
      </c>
      <c r="BI16" s="40">
        <f>IF(Table_BDD[[#This Row],[Position]]="","",IF(Table_BDD[[#This Row],[Résultat]]="Gagnant",1,0))</f>
        <v>0</v>
      </c>
      <c r="BJ16" s="40">
        <f>IF(Table_BDD[[#This Row],[Position]]="","",IF(Table_BDD[[#This Row],[Résultat]]="Perdant",1,0))</f>
        <v>1</v>
      </c>
      <c r="BK16" s="40"/>
      <c r="BL16" s="145">
        <f>IF(Table_BDD[[#This Row],[T / P]]="","",Table_BDD[[#This Row],[T / P]])</f>
        <v>28874.49</v>
      </c>
      <c r="BM16" s="147"/>
      <c r="BN16" s="147"/>
      <c r="BO16" s="147"/>
      <c r="BP16" s="147"/>
      <c r="BQ16" s="127"/>
    </row>
    <row r="17" spans="1:69" x14ac:dyDescent="0.2">
      <c r="A17" s="93">
        <v>43865.729108796295</v>
      </c>
      <c r="B17" s="94">
        <v>259453265</v>
      </c>
      <c r="C17" s="37" t="s">
        <v>8</v>
      </c>
      <c r="D17" s="37" t="s">
        <v>10</v>
      </c>
      <c r="E17" s="37">
        <v>0.5</v>
      </c>
      <c r="F17" s="95">
        <v>28872.53</v>
      </c>
      <c r="G17" s="95">
        <v>28882.53</v>
      </c>
      <c r="H17" s="95">
        <v>28828.19</v>
      </c>
      <c r="I17" s="28">
        <v>43865.730069444442</v>
      </c>
      <c r="J17" s="95">
        <v>28882.75</v>
      </c>
      <c r="K17" s="95">
        <v>0</v>
      </c>
      <c r="L17" s="95">
        <v>0</v>
      </c>
      <c r="M17" s="32">
        <v>-4.63</v>
      </c>
      <c r="N17" s="148">
        <f>IF(Table_BDD[[#This Row],[Position]]="","",ROW()-3)</f>
        <v>14</v>
      </c>
      <c r="O17" s="32">
        <f>SUM($L$4:M17)</f>
        <v>7.9600000000000017</v>
      </c>
      <c r="P17" s="32">
        <f>Table_BDD[[#This Row],[Equité avant trade]]+Table_BDD[[#This Row],[Profit]]+Table_BDD[[#This Row],[Echange]]</f>
        <v>1007.96</v>
      </c>
      <c r="Q17" s="52">
        <f>INT(Table_BDD[[#This Row],[Horodatage cloture]])</f>
        <v>43865</v>
      </c>
      <c r="R17" s="34">
        <f>WEEKNUM(Table_BDD[[#This Row],[Horodatage cloture]],2)</f>
        <v>6</v>
      </c>
      <c r="S17" s="61">
        <f>WEEKDAY(Table_BDD[[#This Row],[Horodatage cloture]])</f>
        <v>3</v>
      </c>
      <c r="T17" s="63">
        <f>HOUR(Table_BDD[[#This Row],[Horodatage cloture]])</f>
        <v>17</v>
      </c>
      <c r="U17" s="68">
        <f>IF(Table_BDD[[#This Row],[Position]]="","",IF(Table_BDD[[#This Row],[Valeur début de journée unique]]&lt;&gt;0,1,0))</f>
        <v>0</v>
      </c>
      <c r="V17" s="68" t="str">
        <f>IF(Table_BDD[[#This Row],[Nb de séance de trading]]=1,COUNTIF(Table_BDD[Date],Table_BDD[[#This Row],[Date]]),"")</f>
        <v/>
      </c>
      <c r="W17" s="33">
        <f>IF(Table_BDD[[#This Row],[Position]]="","",IF(Table_BDD[[#This Row],[Type]]="buy",ROUND(Table_BDD[[#This Row],[Lvl Entrée]]-Table_BDD[[#This Row],[S / L]],1),ROUND(Table_BDD[[#This Row],[S / L]]-Table_BDD[[#This Row],[Lvl Entrée]],1)))</f>
        <v>10</v>
      </c>
      <c r="X17" s="33">
        <f>IF(Table_BDD[[#This Row],[Position]]="","",IF(Table_BDD[[#This Row],[T / P]]=0,200,IF(Table_BDD[[#This Row],[Type]]="buy",ROUND(Table_BDD[[#This Row],[T / P]]-Table_BDD[[#This Row],[Lvl Entrée]],1),ROUND(Table_BDD[[#This Row],[Lvl Entrée]]-Table_BDD[[#This Row],[T / P]],1))))</f>
        <v>44.3</v>
      </c>
      <c r="Y17" s="34">
        <f>IF(Table_BDD[[#This Row],[Position]]="","",IF(Table_BDD[[#This Row],[Ecart du SL]]&gt;0,ROUND(ABS(Table_BDD[[#This Row],[Ecart du TP]])/ABS(Table_BDD[[#This Row],[Ecart du SL]]),1),ROUND(ABS(Table_BDD[[#This Row],[Ecart du TP]])/10,1)))</f>
        <v>4.4000000000000004</v>
      </c>
      <c r="Z17" s="34">
        <f>IF(Table_BDD[[#This Row],[Position]]="","",IF(Table_BDD[[#This Row],[Ecart du SL]]&lt;0,IF(AND(Table_BDD[[#This Row],[Profit]]&gt;0,Table_BDD[[#This Row],[Type]]="sell"),ROUND((Table_BDD[[#This Row],[Lvl Entrée]]-Table_BDD[[#This Row],[Lvl Sortie]])/(10),1),IF(AND(Table_BDD[[#This Row],[Profit]]&gt;0,Table_BDD[[#This Row],[Type]]="buy"),ROUND((Table_BDD[[#This Row],[Lvl Sortie]]-Table_BDD[[#This Row],[Lvl Entrée]])/(10),1),)),IF(AND(Table_BDD[[#This Row],[Profit]]&gt;0,Table_BDD[[#This Row],[Type]]="sell"),ROUND((Table_BDD[[#This Row],[Lvl Entrée]]-Table_BDD[[#This Row],[Lvl Sortie]])/(Table_BDD[[#This Row],[S / L]]-Table_BDD[[#This Row],[Lvl Entrée]]),1),IF(AND(Table_BDD[[#This Row],[Profit]]&gt;0,Table_BDD[[#This Row],[Type]]="buy"),ROUND((Table_BDD[[#This Row],[Lvl Sortie]]-Table_BDD[[#This Row],[Lvl Entrée]])/(Table_BDD[[#This Row],[Lvl Entrée]]-Table_BDD[[#This Row],[S / L]]),1),ROUND(Table_BDD[[#This Row],[Points]]/10,1)))))</f>
        <v>-1</v>
      </c>
      <c r="AA17" s="32">
        <f>IF(Table_BDD[[#This Row],[Position]]="",AA16,Table_BDD[[#This Row],[Equité après trade]]-Table_BDD[[#This Row],[Profit]]-Table_BDD[[#This Row],[Echange]])</f>
        <v>1012.59</v>
      </c>
      <c r="AB17" s="149">
        <f>$B$1+SUM($L$4:M17)</f>
        <v>1007.96</v>
      </c>
      <c r="AC17" s="150">
        <f>IF(Table_BDD[[#This Row],[Position]]="","",_xlfn.MINIFS(Table_BDD[Horodatage ouverture],Table_BDD[Date],Table_BDD[Date]))</f>
        <v>43865.645729166667</v>
      </c>
      <c r="AD17" s="149">
        <f>VLOOKUP(_xlfn.MINIFS(Table_BDD[Horodatage ouverture],Table_BDD[Date],Table_BDD[Date]),Table_BDD[[Horodatage ouverture]:[Heure derniere valeur]],AA$2)</f>
        <v>1010.0300000000001</v>
      </c>
      <c r="AE17" s="149">
        <f>IF(VLOOKUP(_xlfn.MINIFS(Table_BDD[Horodatage ouverture],Table_BDD[Date],Table_BDD[Date]),Table_BDD[[Horodatage ouverture]:[Heure derniere valeur]],AA$2)=Table_BDD[[#This Row],[Equité avant trade]],VLOOKUP(_xlfn.MINIFS(Table_BDD[Horodatage ouverture],Table_BDD[Date],Table_BDD[Date]),Table_BDD[[Horodatage ouverture]:[Heure derniere valeur]],AA$2),0)</f>
        <v>0</v>
      </c>
      <c r="AF17" s="150">
        <f>IF(Table_BDD[[#This Row],[Position]]="","",_xlfn.MAXIFS(Table_BDD[Horodatage ouverture],Table_BDD[Date],Table_BDD[Date]))</f>
        <v>43865.841574074075</v>
      </c>
      <c r="AG17" s="32">
        <f>VLOOKUP(_xlfn.MAXIFS(Table_BDD[Horodatage cloture],Table_BDD[Date],Table_BDD[Date]),Table_BDD[[Horodatage ouverture]:[Heure derniere valeur]],AB$2)</f>
        <v>1011.88</v>
      </c>
      <c r="AH17" s="32">
        <f>IF(VLOOKUP(_xlfn.MAXIFS(Table_BDD[Horodatage cloture],Table_BDD[Date],Table_BDD[Date]),Table_BDD[[Horodatage ouverture]:[Heure derniere valeur]],AB$2)=Table_BDD[[#This Row],[Equité après trade]],VLOOKUP(_xlfn.MAXIFS(Table_BDD[Horodatage cloture],Table_BDD[Date],Table_BDD[Date]),Table_BDD[[Horodatage ouverture]:[Heure derniere valeur]],AB$2),0)</f>
        <v>0</v>
      </c>
      <c r="AI17" s="32" t="e">
        <f>IF(Table_BDD[[#This Row],[Valeur fin de journée unique]]=0,#N/A,Table_BDD[[#This Row],[Valeur fin de journée unique]])</f>
        <v>#N/A</v>
      </c>
      <c r="AJ17" s="35">
        <f>IF(Table_BDD[[#This Row],[Position]]="","",(Table_BDD[[#This Row],[Equité après trade]]-Table_BDD[[#This Row],[Equité avant trade]])/Table_BDD[[#This Row],[Equité avant trade]])</f>
        <v>-4.57243306767793E-3</v>
      </c>
      <c r="AK17" s="35" t="str">
        <f>IFERROR(((INDEX(Table_BDD[[Trade n°]:[Valeur fin de journée unique]],Table_BDD[[#This Row],[Nb de trade du jour]]+Table_BDD[[#This Row],[Trade n°]]-1,21))-Table_BDD[[#This Row],[Valeur début de journée unique]])/Table_BDD[[#This Row],[Valeur début de journée unique]],"")</f>
        <v/>
      </c>
      <c r="AL17" s="32">
        <f>IF(Table_BDD[[#This Row],[Position]]="","",MAX(Table_BDD[[#This Row],[Cumul équité]],AL16))</f>
        <v>1019.44</v>
      </c>
      <c r="AM17" s="32">
        <f>IF(Table_BDD[[#This Row],[Position]]="","",MIN(Table_BDD[[#This Row],[Cumul équité]],AL16))</f>
        <v>1007.96</v>
      </c>
      <c r="AN17" s="97">
        <f>IF(Table_BDD[[#This Row],[Sommet Drawdown]]&gt;AL16,"",Table_BDD[[#This Row],[Creux Drawdown]]/Table_BDD[[#This Row],[Sommet Drawdown]]-1)</f>
        <v>-1.1261084516989706E-2</v>
      </c>
      <c r="AO17" s="36">
        <f>IF(Table_BDD[[#This Row],[Position]]="","",IF(Table_BDD[[#This Row],[Type]]="buy",ROUND(Table_BDD[[#This Row],[Lvl Sortie]]-Table_BDD[[#This Row],[Lvl Entrée]],1),ROUND(Table_BDD[[#This Row],[Lvl Entrée]]-Table_BDD[[#This Row],[Lvl Sortie]],1)))</f>
        <v>-10.199999999999999</v>
      </c>
      <c r="AP17" s="36" t="str">
        <f>IF(Table_BDD[[#This Row],[Points]]&gt;0,Table_BDD[[#This Row],[Points]],"")</f>
        <v/>
      </c>
      <c r="AQ17" s="36">
        <f>IF(Table_BDD[[#This Row],[Points]]&lt;0,Table_BDD[[#This Row],[Points]],"")</f>
        <v>-10.199999999999999</v>
      </c>
      <c r="AR17" s="36">
        <f>SUM($AO$4:AO17)</f>
        <v>17.500000000000007</v>
      </c>
      <c r="AS17" s="68">
        <f>IF(Table_BDD[[#This Row],[Position]]="","",IF(Table_BDD[[#This Row],[Conformité]]="Conforme",1,0))</f>
        <v>0</v>
      </c>
      <c r="AT17" s="68">
        <f>IF(Table_BDD[[#This Row],[Position]]="","",IF(Table_BDD[[#This Row],[Conformité]]="Non conforme",1,0))</f>
        <v>1</v>
      </c>
      <c r="AU17" s="37" t="s">
        <v>17</v>
      </c>
      <c r="AV17" s="37"/>
      <c r="AW17" s="37"/>
      <c r="AX17" s="37">
        <v>0</v>
      </c>
      <c r="AY17" s="37">
        <v>0</v>
      </c>
      <c r="AZ17" s="37">
        <v>0</v>
      </c>
      <c r="BA17" s="37" t="str">
        <f>IF(Table_BDD[[#This Row],[Position]]="","Sans objet",IF(AND(Table_BDD[[#This Row],[Type]]="sell",Table_BDD[[#This Row],[S / L]]&lt;Table_BDD[[#This Row],[Lvl Entrée]],Table_BDD[[#This Row],[Lvl Sortie]]&lt;=Table_BDD[[#This Row],[S / L]]+2,Table_BDD[[#This Row],[Lvl Sortie]]&lt;Table_BDD[[#This Row],[Lvl Entrée]]-19),"Oui",IF(AND(Table_BDD[[#This Row],[Type]]="buy",Table_BDD[[#This Row],[S / L]]&gt;Table_BDD[[#This Row],[Lvl Entrée]],Table_BDD[[#This Row],[Lvl Sortie]]&gt;=Table_BDD[[#This Row],[S / L]]-2,Table_BDD[[#This Row],[S / L]]&gt;Table_BDD[[#This Row],[Lvl Entrée]]+19),"Oui","Non")))</f>
        <v>Non</v>
      </c>
      <c r="BB17" s="37" t="str">
        <f>IF(Table_BDD[[#This Row],[Position]]="","Sans objet",IF(AND(Table_BDD[[#This Row],[Type]]="sell",Table_BDD[[#This Row],[S / L]]&lt;Table_BDD[[#This Row],[Lvl Entrée]],Table_BDD[[#This Row],[Points]]&gt;=-1),"Oui",IF(AND(Table_BDD[[#This Row],[Type]]="sell",Table_BDD[[#This Row],[S / L]]&gt;Table_BDD[[#This Row],[Lvl Entrée]]),"Non",IF(AND(Table_BDD[[#This Row],[Type]]="buy",Table_BDD[[#This Row],[S / L]]&lt;Table_BDD[[#This Row],[Lvl Entrée]]),"Non",IF(AND(Table_BDD[[#This Row],[Type]]="buy",Table_BDD[[#This Row],[S / L]]&gt;Table_BDD[[#This Row],[Lvl Entrée]],Table_BDD[[#This Row],[Points]]&gt;=-1),"Oui")))))</f>
        <v>Non</v>
      </c>
      <c r="BC17" s="37" t="str">
        <f>IF(Table_BDD[[#This Row],[Position]]="","Sans objet",IF(Table_BDD[[#This Row],[T / P]]="","Non",IF(AND(Table_BDD[[#This Row],[Type]]="sell",Table_BDD[[#This Row],[Lvl Sortie]]&lt;=Table_BDD[[#This Row],[T / P]]),"Oui",IF(AND(Table_BDD[[#This Row],[Type]]="buy",Table_BDD[[#This Row],[Lvl Sortie]]&gt;=Table_BDD[[#This Row],[T / P]]),"Oui","Non"))))</f>
        <v>Non</v>
      </c>
      <c r="BD17" s="91">
        <f t="array" ref="BD17">IFERROR(INDEX(downloadFile[#All],MATCH(Table_BDD[[#This Row],[Date]],downloadFile[[#All],[Column1]],0),2),BD16)</f>
        <v>1.1048</v>
      </c>
      <c r="BE17" s="89">
        <f>IF(Table_BDD[[#This Row],[Position]]="","",IF(Table_BDD[[#This Row],[Symbole]]="UsaInd",(Table_BDD[[#This Row],[Volume]]*Table_BDD[[#This Row],[Lvl Entrée]])/(Table_BDD[[#This Row],[Equité avant trade]]*Table_BDD[[#This Row],[EUR/USD]]),IF(Table_BDD[[#This Row],[Symbole]]="Ger30",(Table_BDD[[#This Row],[Volume]]*Table_BDD[[#This Row],[Lvl Entrée]])/Table_BDD[[#This Row],[Equité avant trade]],)))</f>
        <v>12.904391960109976</v>
      </c>
      <c r="BF17" s="38">
        <f>IF(Table_BDD[[#This Row],[Position]]="","",IF(Table_BDD[[#This Row],[Conformité]]="Non conforme",0,(MROUND(3*((Table_BDD[[#This Row],[Conviction]]+Table_BDD[[#This Row],[Timing]]+Table_BDD[[#This Row],[Sortie]])+1)-2,1))))</f>
        <v>0</v>
      </c>
      <c r="BG17" s="38" t="str">
        <f>IF(Table_BDD[[#This Row],[Position]]="","",IF(Table_BDD[[#This Row],[Points]]&lt;-5,"--",IF(AND(Table_BDD[[#This Row],[Points]]&gt;=-5,Table_BDD[[#This Row],[Points]]&lt;-1.5),"-",IF(AND(Table_BDD[[#This Row],[Points]]&gt;=-1.5,Table_BDD[[#This Row],[Points]]&lt;1.5),"0",IF(AND(Table_BDD[[#This Row],[Points]]&gt;=1.5,Table_BDD[[#This Row],[Points]]&lt;=70),"+",IF(Table_BDD[[#This Row],[Points]]&gt;70,"++"))))))</f>
        <v>--</v>
      </c>
      <c r="BH17" s="37" t="str">
        <f>IF(Table_BDD[[#This Row],[Position]]="","",IF(Table_BDD[[#This Row],[Points]]&gt;0,"Gagnant",IF(Table_BDD[[#This Row],[Points]]=0,"Flat","Perdant")))</f>
        <v>Perdant</v>
      </c>
      <c r="BI17" s="40">
        <f>IF(Table_BDD[[#This Row],[Position]]="","",IF(Table_BDD[[#This Row],[Résultat]]="Gagnant",1,0))</f>
        <v>0</v>
      </c>
      <c r="BJ17" s="40">
        <f>IF(Table_BDD[[#This Row],[Position]]="","",IF(Table_BDD[[#This Row],[Résultat]]="Perdant",1,0))</f>
        <v>1</v>
      </c>
      <c r="BK17" s="40"/>
      <c r="BL17" s="145">
        <f>IF(Table_BDD[[#This Row],[T / P]]="","",Table_BDD[[#This Row],[T / P]])</f>
        <v>28828.19</v>
      </c>
      <c r="BM17" s="147"/>
      <c r="BN17" s="147"/>
      <c r="BO17" s="147"/>
      <c r="BP17" s="147"/>
      <c r="BQ17" s="127"/>
    </row>
    <row r="18" spans="1:69" x14ac:dyDescent="0.2">
      <c r="A18" s="93">
        <v>43865.730231481481</v>
      </c>
      <c r="B18" s="94">
        <v>259453387</v>
      </c>
      <c r="C18" s="37" t="s">
        <v>8</v>
      </c>
      <c r="D18" s="37" t="s">
        <v>10</v>
      </c>
      <c r="E18" s="37">
        <v>0.5</v>
      </c>
      <c r="F18" s="95">
        <v>28879.56</v>
      </c>
      <c r="G18" s="95">
        <v>28889.56</v>
      </c>
      <c r="H18" s="95"/>
      <c r="I18" s="28">
        <v>43865.730520833335</v>
      </c>
      <c r="J18" s="95">
        <v>28889.84</v>
      </c>
      <c r="K18" s="95">
        <v>0</v>
      </c>
      <c r="L18" s="95">
        <v>0</v>
      </c>
      <c r="M18" s="32">
        <v>-4.66</v>
      </c>
      <c r="N18" s="148">
        <f>IF(Table_BDD[[#This Row],[Position]]="","",ROW()-3)</f>
        <v>15</v>
      </c>
      <c r="O18" s="32">
        <f>SUM($L$4:M18)</f>
        <v>3.3000000000000016</v>
      </c>
      <c r="P18" s="32">
        <f>Table_BDD[[#This Row],[Equité avant trade]]+Table_BDD[[#This Row],[Profit]]+Table_BDD[[#This Row],[Echange]]</f>
        <v>1003.3</v>
      </c>
      <c r="Q18" s="52">
        <f>INT(Table_BDD[[#This Row],[Horodatage cloture]])</f>
        <v>43865</v>
      </c>
      <c r="R18" s="34">
        <f>WEEKNUM(Table_BDD[[#This Row],[Horodatage cloture]],2)</f>
        <v>6</v>
      </c>
      <c r="S18" s="61">
        <f>WEEKDAY(Table_BDD[[#This Row],[Horodatage cloture]])</f>
        <v>3</v>
      </c>
      <c r="T18" s="63">
        <f>HOUR(Table_BDD[[#This Row],[Horodatage cloture]])</f>
        <v>17</v>
      </c>
      <c r="U18" s="68">
        <f>IF(Table_BDD[[#This Row],[Position]]="","",IF(Table_BDD[[#This Row],[Valeur début de journée unique]]&lt;&gt;0,1,0))</f>
        <v>0</v>
      </c>
      <c r="V18" s="68" t="str">
        <f>IF(Table_BDD[[#This Row],[Nb de séance de trading]]=1,COUNTIF(Table_BDD[Date],Table_BDD[[#This Row],[Date]]),"")</f>
        <v/>
      </c>
      <c r="W18" s="33">
        <f>IF(Table_BDD[[#This Row],[Position]]="","",IF(Table_BDD[[#This Row],[Type]]="buy",ROUND(Table_BDD[[#This Row],[Lvl Entrée]]-Table_BDD[[#This Row],[S / L]],1),ROUND(Table_BDD[[#This Row],[S / L]]-Table_BDD[[#This Row],[Lvl Entrée]],1)))</f>
        <v>10</v>
      </c>
      <c r="X18" s="33">
        <f>IF(Table_BDD[[#This Row],[Position]]="","",IF(Table_BDD[[#This Row],[T / P]]=0,200,IF(Table_BDD[[#This Row],[Type]]="buy",ROUND(Table_BDD[[#This Row],[T / P]]-Table_BDD[[#This Row],[Lvl Entrée]],1),ROUND(Table_BDD[[#This Row],[Lvl Entrée]]-Table_BDD[[#This Row],[T / P]],1))))</f>
        <v>200</v>
      </c>
      <c r="Y18" s="34">
        <f>IF(Table_BDD[[#This Row],[Position]]="","",IF(Table_BDD[[#This Row],[Ecart du SL]]&gt;0,ROUND(ABS(Table_BDD[[#This Row],[Ecart du TP]])/ABS(Table_BDD[[#This Row],[Ecart du SL]]),1),ROUND(ABS(Table_BDD[[#This Row],[Ecart du TP]])/10,1)))</f>
        <v>20</v>
      </c>
      <c r="Z18" s="34">
        <f>IF(Table_BDD[[#This Row],[Position]]="","",IF(Table_BDD[[#This Row],[Ecart du SL]]&lt;0,IF(AND(Table_BDD[[#This Row],[Profit]]&gt;0,Table_BDD[[#This Row],[Type]]="sell"),ROUND((Table_BDD[[#This Row],[Lvl Entrée]]-Table_BDD[[#This Row],[Lvl Sortie]])/(10),1),IF(AND(Table_BDD[[#This Row],[Profit]]&gt;0,Table_BDD[[#This Row],[Type]]="buy"),ROUND((Table_BDD[[#This Row],[Lvl Sortie]]-Table_BDD[[#This Row],[Lvl Entrée]])/(10),1),)),IF(AND(Table_BDD[[#This Row],[Profit]]&gt;0,Table_BDD[[#This Row],[Type]]="sell"),ROUND((Table_BDD[[#This Row],[Lvl Entrée]]-Table_BDD[[#This Row],[Lvl Sortie]])/(Table_BDD[[#This Row],[S / L]]-Table_BDD[[#This Row],[Lvl Entrée]]),1),IF(AND(Table_BDD[[#This Row],[Profit]]&gt;0,Table_BDD[[#This Row],[Type]]="buy"),ROUND((Table_BDD[[#This Row],[Lvl Sortie]]-Table_BDD[[#This Row],[Lvl Entrée]])/(Table_BDD[[#This Row],[Lvl Entrée]]-Table_BDD[[#This Row],[S / L]]),1),ROUND(Table_BDD[[#This Row],[Points]]/10,1)))))</f>
        <v>-1</v>
      </c>
      <c r="AA18" s="32">
        <f>IF(Table_BDD[[#This Row],[Position]]="",AA17,Table_BDD[[#This Row],[Equité après trade]]-Table_BDD[[#This Row],[Profit]]-Table_BDD[[#This Row],[Echange]])</f>
        <v>1007.9599999999999</v>
      </c>
      <c r="AB18" s="149">
        <f>$B$1+SUM($L$4:M18)</f>
        <v>1003.3</v>
      </c>
      <c r="AC18" s="150">
        <f>IF(Table_BDD[[#This Row],[Position]]="","",_xlfn.MINIFS(Table_BDD[Horodatage ouverture],Table_BDD[Date],Table_BDD[Date]))</f>
        <v>43865.645729166667</v>
      </c>
      <c r="AD18" s="149">
        <f>VLOOKUP(_xlfn.MINIFS(Table_BDD[Horodatage ouverture],Table_BDD[Date],Table_BDD[Date]),Table_BDD[[Horodatage ouverture]:[Heure derniere valeur]],AA$2)</f>
        <v>1010.0300000000001</v>
      </c>
      <c r="AE18" s="149">
        <f>IF(VLOOKUP(_xlfn.MINIFS(Table_BDD[Horodatage ouverture],Table_BDD[Date],Table_BDD[Date]),Table_BDD[[Horodatage ouverture]:[Heure derniere valeur]],AA$2)=Table_BDD[[#This Row],[Equité avant trade]],VLOOKUP(_xlfn.MINIFS(Table_BDD[Horodatage ouverture],Table_BDD[Date],Table_BDD[Date]),Table_BDD[[Horodatage ouverture]:[Heure derniere valeur]],AA$2),0)</f>
        <v>0</v>
      </c>
      <c r="AF18" s="150">
        <f>IF(Table_BDD[[#This Row],[Position]]="","",_xlfn.MAXIFS(Table_BDD[Horodatage ouverture],Table_BDD[Date],Table_BDD[Date]))</f>
        <v>43865.841574074075</v>
      </c>
      <c r="AG18" s="32">
        <f>VLOOKUP(_xlfn.MAXIFS(Table_BDD[Horodatage cloture],Table_BDD[Date],Table_BDD[Date]),Table_BDD[[Horodatage ouverture]:[Heure derniere valeur]],AB$2)</f>
        <v>1011.88</v>
      </c>
      <c r="AH18" s="32">
        <f>IF(VLOOKUP(_xlfn.MAXIFS(Table_BDD[Horodatage cloture],Table_BDD[Date],Table_BDD[Date]),Table_BDD[[Horodatage ouverture]:[Heure derniere valeur]],AB$2)=Table_BDD[[#This Row],[Equité après trade]],VLOOKUP(_xlfn.MAXIFS(Table_BDD[Horodatage cloture],Table_BDD[Date],Table_BDD[Date]),Table_BDD[[Horodatage ouverture]:[Heure derniere valeur]],AB$2),0)</f>
        <v>0</v>
      </c>
      <c r="AI18" s="32" t="e">
        <f>IF(Table_BDD[[#This Row],[Valeur fin de journée unique]]=0,#N/A,Table_BDD[[#This Row],[Valeur fin de journée unique]])</f>
        <v>#N/A</v>
      </c>
      <c r="AJ18" s="35">
        <f>IF(Table_BDD[[#This Row],[Position]]="","",(Table_BDD[[#This Row],[Equité après trade]]-Table_BDD[[#This Row],[Equité avant trade]])/Table_BDD[[#This Row],[Equité avant trade]])</f>
        <v>-4.6231993333068462E-3</v>
      </c>
      <c r="AK18" s="35" t="str">
        <f>IFERROR(((INDEX(Table_BDD[[Trade n°]:[Valeur fin de journée unique]],Table_BDD[[#This Row],[Nb de trade du jour]]+Table_BDD[[#This Row],[Trade n°]]-1,21))-Table_BDD[[#This Row],[Valeur début de journée unique]])/Table_BDD[[#This Row],[Valeur début de journée unique]],"")</f>
        <v/>
      </c>
      <c r="AL18" s="32">
        <f>IF(Table_BDD[[#This Row],[Position]]="","",MAX(Table_BDD[[#This Row],[Cumul équité]],AL17))</f>
        <v>1019.44</v>
      </c>
      <c r="AM18" s="32">
        <f>IF(Table_BDD[[#This Row],[Position]]="","",MIN(Table_BDD[[#This Row],[Cumul équité]],AL17))</f>
        <v>1003.3</v>
      </c>
      <c r="AN18" s="97">
        <f>IF(Table_BDD[[#This Row],[Sommet Drawdown]]&gt;AL17,"",Table_BDD[[#This Row],[Creux Drawdown]]/Table_BDD[[#This Row],[Sommet Drawdown]]-1)</f>
        <v>-1.5832221611865482E-2</v>
      </c>
      <c r="AO18" s="36">
        <f>IF(Table_BDD[[#This Row],[Position]]="","",IF(Table_BDD[[#This Row],[Type]]="buy",ROUND(Table_BDD[[#This Row],[Lvl Sortie]]-Table_BDD[[#This Row],[Lvl Entrée]],1),ROUND(Table_BDD[[#This Row],[Lvl Entrée]]-Table_BDD[[#This Row],[Lvl Sortie]],1)))</f>
        <v>-10.3</v>
      </c>
      <c r="AP18" s="36" t="str">
        <f>IF(Table_BDD[[#This Row],[Points]]&gt;0,Table_BDD[[#This Row],[Points]],"")</f>
        <v/>
      </c>
      <c r="AQ18" s="36">
        <f>IF(Table_BDD[[#This Row],[Points]]&lt;0,Table_BDD[[#This Row],[Points]],"")</f>
        <v>-10.3</v>
      </c>
      <c r="AR18" s="36">
        <f>SUM($AO$4:AO18)</f>
        <v>7.2000000000000064</v>
      </c>
      <c r="AS18" s="68">
        <f>IF(Table_BDD[[#This Row],[Position]]="","",IF(Table_BDD[[#This Row],[Conformité]]="Conforme",1,0))</f>
        <v>0</v>
      </c>
      <c r="AT18" s="68">
        <f>IF(Table_BDD[[#This Row],[Position]]="","",IF(Table_BDD[[#This Row],[Conformité]]="Non conforme",1,0))</f>
        <v>1</v>
      </c>
      <c r="AU18" s="37" t="s">
        <v>17</v>
      </c>
      <c r="AV18" s="37"/>
      <c r="AW18" s="37"/>
      <c r="AX18" s="37">
        <v>0</v>
      </c>
      <c r="AY18" s="37">
        <v>0</v>
      </c>
      <c r="AZ18" s="37">
        <v>0</v>
      </c>
      <c r="BA18" s="37" t="str">
        <f>IF(Table_BDD[[#This Row],[Position]]="","Sans objet",IF(AND(Table_BDD[[#This Row],[Type]]="sell",Table_BDD[[#This Row],[S / L]]&lt;Table_BDD[[#This Row],[Lvl Entrée]],Table_BDD[[#This Row],[Lvl Sortie]]&lt;=Table_BDD[[#This Row],[S / L]]+2,Table_BDD[[#This Row],[Lvl Sortie]]&lt;Table_BDD[[#This Row],[Lvl Entrée]]-19),"Oui",IF(AND(Table_BDD[[#This Row],[Type]]="buy",Table_BDD[[#This Row],[S / L]]&gt;Table_BDD[[#This Row],[Lvl Entrée]],Table_BDD[[#This Row],[Lvl Sortie]]&gt;=Table_BDD[[#This Row],[S / L]]-2,Table_BDD[[#This Row],[S / L]]&gt;Table_BDD[[#This Row],[Lvl Entrée]]+19),"Oui","Non")))</f>
        <v>Non</v>
      </c>
      <c r="BB18" s="37" t="str">
        <f>IF(Table_BDD[[#This Row],[Position]]="","Sans objet",IF(AND(Table_BDD[[#This Row],[Type]]="sell",Table_BDD[[#This Row],[S / L]]&lt;Table_BDD[[#This Row],[Lvl Entrée]],Table_BDD[[#This Row],[Points]]&gt;=-1),"Oui",IF(AND(Table_BDD[[#This Row],[Type]]="sell",Table_BDD[[#This Row],[S / L]]&gt;Table_BDD[[#This Row],[Lvl Entrée]]),"Non",IF(AND(Table_BDD[[#This Row],[Type]]="buy",Table_BDD[[#This Row],[S / L]]&lt;Table_BDD[[#This Row],[Lvl Entrée]]),"Non",IF(AND(Table_BDD[[#This Row],[Type]]="buy",Table_BDD[[#This Row],[S / L]]&gt;Table_BDD[[#This Row],[Lvl Entrée]],Table_BDD[[#This Row],[Points]]&gt;=-1),"Oui")))))</f>
        <v>Non</v>
      </c>
      <c r="BC18" s="37" t="str">
        <f>IF(Table_BDD[[#This Row],[Position]]="","Sans objet",IF(Table_BDD[[#This Row],[T / P]]="","Non",IF(AND(Table_BDD[[#This Row],[Type]]="sell",Table_BDD[[#This Row],[Lvl Sortie]]&lt;=Table_BDD[[#This Row],[T / P]]),"Oui",IF(AND(Table_BDD[[#This Row],[Type]]="buy",Table_BDD[[#This Row],[Lvl Sortie]]&gt;=Table_BDD[[#This Row],[T / P]]),"Oui","Non"))))</f>
        <v>Non</v>
      </c>
      <c r="BD18" s="91">
        <f t="array" ref="BD18">IFERROR(INDEX(downloadFile[#All],MATCH(Table_BDD[[#This Row],[Date]],downloadFile[[#All],[Column1]],0),2),BD17)</f>
        <v>1.1048</v>
      </c>
      <c r="BE18" s="89">
        <f>IF(Table_BDD[[#This Row],[Position]]="","",IF(Table_BDD[[#This Row],[Symbole]]="UsaInd",(Table_BDD[[#This Row],[Volume]]*Table_BDD[[#This Row],[Lvl Entrée]])/(Table_BDD[[#This Row],[Equité avant trade]]*Table_BDD[[#This Row],[EUR/USD]]),IF(Table_BDD[[#This Row],[Symbole]]="Ger30",(Table_BDD[[#This Row],[Volume]]*Table_BDD[[#This Row],[Lvl Entrée]])/Table_BDD[[#This Row],[Equité avant trade]],)))</f>
        <v>12.966823907905958</v>
      </c>
      <c r="BF18" s="38">
        <f>IF(Table_BDD[[#This Row],[Position]]="","",IF(Table_BDD[[#This Row],[Conformité]]="Non conforme",0,(MROUND(3*((Table_BDD[[#This Row],[Conviction]]+Table_BDD[[#This Row],[Timing]]+Table_BDD[[#This Row],[Sortie]])+1)-2,1))))</f>
        <v>0</v>
      </c>
      <c r="BG18" s="38" t="str">
        <f>IF(Table_BDD[[#This Row],[Position]]="","",IF(Table_BDD[[#This Row],[Points]]&lt;-5,"--",IF(AND(Table_BDD[[#This Row],[Points]]&gt;=-5,Table_BDD[[#This Row],[Points]]&lt;-1.5),"-",IF(AND(Table_BDD[[#This Row],[Points]]&gt;=-1.5,Table_BDD[[#This Row],[Points]]&lt;1.5),"0",IF(AND(Table_BDD[[#This Row],[Points]]&gt;=1.5,Table_BDD[[#This Row],[Points]]&lt;=70),"+",IF(Table_BDD[[#This Row],[Points]]&gt;70,"++"))))))</f>
        <v>--</v>
      </c>
      <c r="BH18" s="37" t="str">
        <f>IF(Table_BDD[[#This Row],[Position]]="","",IF(Table_BDD[[#This Row],[Points]]&gt;0,"Gagnant",IF(Table_BDD[[#This Row],[Points]]=0,"Flat","Perdant")))</f>
        <v>Perdant</v>
      </c>
      <c r="BI18" s="40">
        <f>IF(Table_BDD[[#This Row],[Position]]="","",IF(Table_BDD[[#This Row],[Résultat]]="Gagnant",1,0))</f>
        <v>0</v>
      </c>
      <c r="BJ18" s="40">
        <f>IF(Table_BDD[[#This Row],[Position]]="","",IF(Table_BDD[[#This Row],[Résultat]]="Perdant",1,0))</f>
        <v>1</v>
      </c>
      <c r="BK18" s="40"/>
      <c r="BL18" s="145" t="str">
        <f>IF(Table_BDD[[#This Row],[T / P]]="","",Table_BDD[[#This Row],[T / P]])</f>
        <v/>
      </c>
      <c r="BM18" s="147"/>
      <c r="BN18" s="147"/>
      <c r="BO18" s="147"/>
      <c r="BP18" s="147"/>
      <c r="BQ18" s="127"/>
    </row>
    <row r="19" spans="1:69" x14ac:dyDescent="0.2">
      <c r="A19" s="93">
        <v>43865.73064814815</v>
      </c>
      <c r="B19" s="94">
        <v>259453447</v>
      </c>
      <c r="C19" s="37" t="s">
        <v>8</v>
      </c>
      <c r="D19" s="37" t="s">
        <v>9</v>
      </c>
      <c r="E19" s="37">
        <v>0.5</v>
      </c>
      <c r="F19" s="95">
        <v>28889.8</v>
      </c>
      <c r="G19" s="95">
        <v>28879.8</v>
      </c>
      <c r="H19" s="95">
        <v>28919.8</v>
      </c>
      <c r="I19" s="28">
        <v>43865.739039351851</v>
      </c>
      <c r="J19" s="95">
        <v>28879.759999999998</v>
      </c>
      <c r="K19" s="95">
        <v>0</v>
      </c>
      <c r="L19" s="95">
        <v>0</v>
      </c>
      <c r="M19" s="32">
        <v>-4.55</v>
      </c>
      <c r="N19" s="148">
        <f>IF(Table_BDD[[#This Row],[Position]]="","",ROW()-3)</f>
        <v>16</v>
      </c>
      <c r="O19" s="32">
        <f>SUM($L$4:M19)</f>
        <v>-1.2499999999999982</v>
      </c>
      <c r="P19" s="32">
        <f>Table_BDD[[#This Row],[Equité avant trade]]+Table_BDD[[#This Row],[Profit]]+Table_BDD[[#This Row],[Echange]]</f>
        <v>998.75</v>
      </c>
      <c r="Q19" s="52">
        <f>INT(Table_BDD[[#This Row],[Horodatage cloture]])</f>
        <v>43865</v>
      </c>
      <c r="R19" s="34">
        <f>WEEKNUM(Table_BDD[[#This Row],[Horodatage cloture]],2)</f>
        <v>6</v>
      </c>
      <c r="S19" s="61">
        <f>WEEKDAY(Table_BDD[[#This Row],[Horodatage cloture]])</f>
        <v>3</v>
      </c>
      <c r="T19" s="63">
        <f>HOUR(Table_BDD[[#This Row],[Horodatage cloture]])</f>
        <v>17</v>
      </c>
      <c r="U19" s="68">
        <f>IF(Table_BDD[[#This Row],[Position]]="","",IF(Table_BDD[[#This Row],[Valeur début de journée unique]]&lt;&gt;0,1,0))</f>
        <v>0</v>
      </c>
      <c r="V19" s="68" t="str">
        <f>IF(Table_BDD[[#This Row],[Nb de séance de trading]]=1,COUNTIF(Table_BDD[Date],Table_BDD[[#This Row],[Date]]),"")</f>
        <v/>
      </c>
      <c r="W19" s="33">
        <f>IF(Table_BDD[[#This Row],[Position]]="","",IF(Table_BDD[[#This Row],[Type]]="buy",ROUND(Table_BDD[[#This Row],[Lvl Entrée]]-Table_BDD[[#This Row],[S / L]],1),ROUND(Table_BDD[[#This Row],[S / L]]-Table_BDD[[#This Row],[Lvl Entrée]],1)))</f>
        <v>10</v>
      </c>
      <c r="X19" s="33">
        <f>IF(Table_BDD[[#This Row],[Position]]="","",IF(Table_BDD[[#This Row],[T / P]]=0,200,IF(Table_BDD[[#This Row],[Type]]="buy",ROUND(Table_BDD[[#This Row],[T / P]]-Table_BDD[[#This Row],[Lvl Entrée]],1),ROUND(Table_BDD[[#This Row],[Lvl Entrée]]-Table_BDD[[#This Row],[T / P]],1))))</f>
        <v>30</v>
      </c>
      <c r="Y19" s="34">
        <f>IF(Table_BDD[[#This Row],[Position]]="","",IF(Table_BDD[[#This Row],[Ecart du SL]]&gt;0,ROUND(ABS(Table_BDD[[#This Row],[Ecart du TP]])/ABS(Table_BDD[[#This Row],[Ecart du SL]]),1),ROUND(ABS(Table_BDD[[#This Row],[Ecart du TP]])/10,1)))</f>
        <v>3</v>
      </c>
      <c r="Z19" s="34">
        <f>IF(Table_BDD[[#This Row],[Position]]="","",IF(Table_BDD[[#This Row],[Ecart du SL]]&lt;0,IF(AND(Table_BDD[[#This Row],[Profit]]&gt;0,Table_BDD[[#This Row],[Type]]="sell"),ROUND((Table_BDD[[#This Row],[Lvl Entrée]]-Table_BDD[[#This Row],[Lvl Sortie]])/(10),1),IF(AND(Table_BDD[[#This Row],[Profit]]&gt;0,Table_BDD[[#This Row],[Type]]="buy"),ROUND((Table_BDD[[#This Row],[Lvl Sortie]]-Table_BDD[[#This Row],[Lvl Entrée]])/(10),1),)),IF(AND(Table_BDD[[#This Row],[Profit]]&gt;0,Table_BDD[[#This Row],[Type]]="sell"),ROUND((Table_BDD[[#This Row],[Lvl Entrée]]-Table_BDD[[#This Row],[Lvl Sortie]])/(Table_BDD[[#This Row],[S / L]]-Table_BDD[[#This Row],[Lvl Entrée]]),1),IF(AND(Table_BDD[[#This Row],[Profit]]&gt;0,Table_BDD[[#This Row],[Type]]="buy"),ROUND((Table_BDD[[#This Row],[Lvl Sortie]]-Table_BDD[[#This Row],[Lvl Entrée]])/(Table_BDD[[#This Row],[Lvl Entrée]]-Table_BDD[[#This Row],[S / L]]),1),ROUND(Table_BDD[[#This Row],[Points]]/10,1)))))</f>
        <v>-1</v>
      </c>
      <c r="AA19" s="32">
        <f>IF(Table_BDD[[#This Row],[Position]]="",AA18,Table_BDD[[#This Row],[Equité après trade]]-Table_BDD[[#This Row],[Profit]]-Table_BDD[[#This Row],[Echange]])</f>
        <v>1003.3</v>
      </c>
      <c r="AB19" s="149">
        <f>$B$1+SUM($L$4:M19)</f>
        <v>998.75</v>
      </c>
      <c r="AC19" s="150">
        <f>IF(Table_BDD[[#This Row],[Position]]="","",_xlfn.MINIFS(Table_BDD[Horodatage ouverture],Table_BDD[Date],Table_BDD[Date]))</f>
        <v>43865.645729166667</v>
      </c>
      <c r="AD19" s="149">
        <f>VLOOKUP(_xlfn.MINIFS(Table_BDD[Horodatage ouverture],Table_BDD[Date],Table_BDD[Date]),Table_BDD[[Horodatage ouverture]:[Heure derniere valeur]],AA$2)</f>
        <v>1010.0300000000001</v>
      </c>
      <c r="AE19" s="149">
        <f>IF(VLOOKUP(_xlfn.MINIFS(Table_BDD[Horodatage ouverture],Table_BDD[Date],Table_BDD[Date]),Table_BDD[[Horodatage ouverture]:[Heure derniere valeur]],AA$2)=Table_BDD[[#This Row],[Equité avant trade]],VLOOKUP(_xlfn.MINIFS(Table_BDD[Horodatage ouverture],Table_BDD[Date],Table_BDD[Date]),Table_BDD[[Horodatage ouverture]:[Heure derniere valeur]],AA$2),0)</f>
        <v>0</v>
      </c>
      <c r="AF19" s="150">
        <f>IF(Table_BDD[[#This Row],[Position]]="","",_xlfn.MAXIFS(Table_BDD[Horodatage ouverture],Table_BDD[Date],Table_BDD[Date]))</f>
        <v>43865.841574074075</v>
      </c>
      <c r="AG19" s="32">
        <f>VLOOKUP(_xlfn.MAXIFS(Table_BDD[Horodatage cloture],Table_BDD[Date],Table_BDD[Date]),Table_BDD[[Horodatage ouverture]:[Heure derniere valeur]],AB$2)</f>
        <v>1011.88</v>
      </c>
      <c r="AH19" s="32">
        <f>IF(VLOOKUP(_xlfn.MAXIFS(Table_BDD[Horodatage cloture],Table_BDD[Date],Table_BDD[Date]),Table_BDD[[Horodatage ouverture]:[Heure derniere valeur]],AB$2)=Table_BDD[[#This Row],[Equité après trade]],VLOOKUP(_xlfn.MAXIFS(Table_BDD[Horodatage cloture],Table_BDD[Date],Table_BDD[Date]),Table_BDD[[Horodatage ouverture]:[Heure derniere valeur]],AB$2),0)</f>
        <v>0</v>
      </c>
      <c r="AI19" s="32" t="e">
        <f>IF(Table_BDD[[#This Row],[Valeur fin de journée unique]]=0,#N/A,Table_BDD[[#This Row],[Valeur fin de journée unique]])</f>
        <v>#N/A</v>
      </c>
      <c r="AJ19" s="35">
        <f>IF(Table_BDD[[#This Row],[Position]]="","",(Table_BDD[[#This Row],[Equité après trade]]-Table_BDD[[#This Row],[Equité avant trade]])/Table_BDD[[#This Row],[Equité avant trade]])</f>
        <v>-4.5350343865244239E-3</v>
      </c>
      <c r="AK19" s="35" t="str">
        <f>IFERROR(((INDEX(Table_BDD[[Trade n°]:[Valeur fin de journée unique]],Table_BDD[[#This Row],[Nb de trade du jour]]+Table_BDD[[#This Row],[Trade n°]]-1,21))-Table_BDD[[#This Row],[Valeur début de journée unique]])/Table_BDD[[#This Row],[Valeur début de journée unique]],"")</f>
        <v/>
      </c>
      <c r="AL19" s="32">
        <f>IF(Table_BDD[[#This Row],[Position]]="","",MAX(Table_BDD[[#This Row],[Cumul équité]],AL18))</f>
        <v>1019.44</v>
      </c>
      <c r="AM19" s="32">
        <f>IF(Table_BDD[[#This Row],[Position]]="","",MIN(Table_BDD[[#This Row],[Cumul équité]],AL18))</f>
        <v>998.75</v>
      </c>
      <c r="AN19" s="97">
        <f>IF(Table_BDD[[#This Row],[Sommet Drawdown]]&gt;AL18,"",Table_BDD[[#This Row],[Creux Drawdown]]/Table_BDD[[#This Row],[Sommet Drawdown]]-1)</f>
        <v>-2.0295456328965011E-2</v>
      </c>
      <c r="AO19" s="36">
        <f>IF(Table_BDD[[#This Row],[Position]]="","",IF(Table_BDD[[#This Row],[Type]]="buy",ROUND(Table_BDD[[#This Row],[Lvl Sortie]]-Table_BDD[[#This Row],[Lvl Entrée]],1),ROUND(Table_BDD[[#This Row],[Lvl Entrée]]-Table_BDD[[#This Row],[Lvl Sortie]],1)))</f>
        <v>-10</v>
      </c>
      <c r="AP19" s="36" t="str">
        <f>IF(Table_BDD[[#This Row],[Points]]&gt;0,Table_BDD[[#This Row],[Points]],"")</f>
        <v/>
      </c>
      <c r="AQ19" s="36">
        <f>IF(Table_BDD[[#This Row],[Points]]&lt;0,Table_BDD[[#This Row],[Points]],"")</f>
        <v>-10</v>
      </c>
      <c r="AR19" s="36">
        <f>SUM($AO$4:AO19)</f>
        <v>-2.7999999999999936</v>
      </c>
      <c r="AS19" s="68">
        <f>IF(Table_BDD[[#This Row],[Position]]="","",IF(Table_BDD[[#This Row],[Conformité]]="Conforme",1,0))</f>
        <v>0</v>
      </c>
      <c r="AT19" s="68">
        <f>IF(Table_BDD[[#This Row],[Position]]="","",IF(Table_BDD[[#This Row],[Conformité]]="Non conforme",1,0))</f>
        <v>1</v>
      </c>
      <c r="AU19" s="37" t="s">
        <v>17</v>
      </c>
      <c r="AV19" s="37"/>
      <c r="AW19" s="37"/>
      <c r="AX19" s="37">
        <v>0</v>
      </c>
      <c r="AY19" s="37">
        <v>0</v>
      </c>
      <c r="AZ19" s="37">
        <v>0</v>
      </c>
      <c r="BA19" s="37" t="str">
        <f>IF(Table_BDD[[#This Row],[Position]]="","Sans objet",IF(AND(Table_BDD[[#This Row],[Type]]="sell",Table_BDD[[#This Row],[S / L]]&lt;Table_BDD[[#This Row],[Lvl Entrée]],Table_BDD[[#This Row],[Lvl Sortie]]&lt;=Table_BDD[[#This Row],[S / L]]+2,Table_BDD[[#This Row],[Lvl Sortie]]&lt;Table_BDD[[#This Row],[Lvl Entrée]]-19),"Oui",IF(AND(Table_BDD[[#This Row],[Type]]="buy",Table_BDD[[#This Row],[S / L]]&gt;Table_BDD[[#This Row],[Lvl Entrée]],Table_BDD[[#This Row],[Lvl Sortie]]&gt;=Table_BDD[[#This Row],[S / L]]-2,Table_BDD[[#This Row],[S / L]]&gt;Table_BDD[[#This Row],[Lvl Entrée]]+19),"Oui","Non")))</f>
        <v>Non</v>
      </c>
      <c r="BB19" s="37" t="str">
        <f>IF(Table_BDD[[#This Row],[Position]]="","Sans objet",IF(AND(Table_BDD[[#This Row],[Type]]="sell",Table_BDD[[#This Row],[S / L]]&lt;Table_BDD[[#This Row],[Lvl Entrée]],Table_BDD[[#This Row],[Points]]&gt;=-1),"Oui",IF(AND(Table_BDD[[#This Row],[Type]]="sell",Table_BDD[[#This Row],[S / L]]&gt;Table_BDD[[#This Row],[Lvl Entrée]]),"Non",IF(AND(Table_BDD[[#This Row],[Type]]="buy",Table_BDD[[#This Row],[S / L]]&lt;Table_BDD[[#This Row],[Lvl Entrée]]),"Non",IF(AND(Table_BDD[[#This Row],[Type]]="buy",Table_BDD[[#This Row],[S / L]]&gt;Table_BDD[[#This Row],[Lvl Entrée]],Table_BDD[[#This Row],[Points]]&gt;=-1),"Oui")))))</f>
        <v>Non</v>
      </c>
      <c r="BC19" s="37" t="str">
        <f>IF(Table_BDD[[#This Row],[Position]]="","Sans objet",IF(Table_BDD[[#This Row],[T / P]]="","Non",IF(AND(Table_BDD[[#This Row],[Type]]="sell",Table_BDD[[#This Row],[Lvl Sortie]]&lt;=Table_BDD[[#This Row],[T / P]]),"Oui",IF(AND(Table_BDD[[#This Row],[Type]]="buy",Table_BDD[[#This Row],[Lvl Sortie]]&gt;=Table_BDD[[#This Row],[T / P]]),"Oui","Non"))))</f>
        <v>Non</v>
      </c>
      <c r="BD19" s="91">
        <f t="array" ref="BD19">IFERROR(INDEX(downloadFile[#All],MATCH(Table_BDD[[#This Row],[Date]],downloadFile[[#All],[Column1]],0),2),BD18)</f>
        <v>1.1048</v>
      </c>
      <c r="BE19" s="89">
        <f>IF(Table_BDD[[#This Row],[Position]]="","",IF(Table_BDD[[#This Row],[Symbole]]="UsaInd",(Table_BDD[[#This Row],[Volume]]*Table_BDD[[#This Row],[Lvl Entrée]])/(Table_BDD[[#This Row],[Equité avant trade]]*Table_BDD[[#This Row],[EUR/USD]]),IF(Table_BDD[[#This Row],[Symbole]]="Ger30",(Table_BDD[[#This Row],[Volume]]*Table_BDD[[#This Row],[Lvl Entrée]])/Table_BDD[[#This Row],[Equité avant trade]],)))</f>
        <v>13.031669639357393</v>
      </c>
      <c r="BF19" s="38">
        <f>IF(Table_BDD[[#This Row],[Position]]="","",IF(Table_BDD[[#This Row],[Conformité]]="Non conforme",0,(MROUND(3*((Table_BDD[[#This Row],[Conviction]]+Table_BDD[[#This Row],[Timing]]+Table_BDD[[#This Row],[Sortie]])+1)-2,1))))</f>
        <v>0</v>
      </c>
      <c r="BG19" s="38" t="str">
        <f>IF(Table_BDD[[#This Row],[Position]]="","",IF(Table_BDD[[#This Row],[Points]]&lt;-5,"--",IF(AND(Table_BDD[[#This Row],[Points]]&gt;=-5,Table_BDD[[#This Row],[Points]]&lt;-1.5),"-",IF(AND(Table_BDD[[#This Row],[Points]]&gt;=-1.5,Table_BDD[[#This Row],[Points]]&lt;1.5),"0",IF(AND(Table_BDD[[#This Row],[Points]]&gt;=1.5,Table_BDD[[#This Row],[Points]]&lt;=70),"+",IF(Table_BDD[[#This Row],[Points]]&gt;70,"++"))))))</f>
        <v>--</v>
      </c>
      <c r="BH19" s="37" t="str">
        <f>IF(Table_BDD[[#This Row],[Position]]="","",IF(Table_BDD[[#This Row],[Points]]&gt;0,"Gagnant",IF(Table_BDD[[#This Row],[Points]]=0,"Flat","Perdant")))</f>
        <v>Perdant</v>
      </c>
      <c r="BI19" s="40">
        <f>IF(Table_BDD[[#This Row],[Position]]="","",IF(Table_BDD[[#This Row],[Résultat]]="Gagnant",1,0))</f>
        <v>0</v>
      </c>
      <c r="BJ19" s="40">
        <f>IF(Table_BDD[[#This Row],[Position]]="","",IF(Table_BDD[[#This Row],[Résultat]]="Perdant",1,0))</f>
        <v>1</v>
      </c>
      <c r="BK19" s="40"/>
      <c r="BL19" s="145">
        <f>IF(Table_BDD[[#This Row],[T / P]]="","",Table_BDD[[#This Row],[T / P]])</f>
        <v>28919.8</v>
      </c>
      <c r="BM19" s="147"/>
      <c r="BN19" s="147"/>
      <c r="BO19" s="147"/>
      <c r="BP19" s="147"/>
      <c r="BQ19" s="127"/>
    </row>
    <row r="20" spans="1:69" x14ac:dyDescent="0.2">
      <c r="A20" s="93">
        <v>43865.739131944443</v>
      </c>
      <c r="B20" s="94">
        <v>259454433</v>
      </c>
      <c r="C20" s="37" t="s">
        <v>8</v>
      </c>
      <c r="D20" s="37" t="s">
        <v>10</v>
      </c>
      <c r="E20" s="37">
        <v>0.5</v>
      </c>
      <c r="F20" s="95">
        <v>28877.56</v>
      </c>
      <c r="G20" s="95">
        <v>28887.56</v>
      </c>
      <c r="H20" s="95">
        <v>28841.43</v>
      </c>
      <c r="I20" s="28">
        <v>43865.740960648145</v>
      </c>
      <c r="J20" s="95">
        <v>28887.65</v>
      </c>
      <c r="K20" s="95">
        <v>0</v>
      </c>
      <c r="L20" s="95">
        <v>0</v>
      </c>
      <c r="M20" s="32">
        <v>-4.58</v>
      </c>
      <c r="N20" s="148">
        <f>IF(Table_BDD[[#This Row],[Position]]="","",ROW()-3)</f>
        <v>17</v>
      </c>
      <c r="O20" s="32">
        <f>SUM($L$4:M20)</f>
        <v>-5.8299999999999983</v>
      </c>
      <c r="P20" s="32">
        <f>Table_BDD[[#This Row],[Equité avant trade]]+Table_BDD[[#This Row],[Profit]]+Table_BDD[[#This Row],[Echange]]</f>
        <v>994.17</v>
      </c>
      <c r="Q20" s="52">
        <f>INT(Table_BDD[[#This Row],[Horodatage cloture]])</f>
        <v>43865</v>
      </c>
      <c r="R20" s="34">
        <f>WEEKNUM(Table_BDD[[#This Row],[Horodatage cloture]],2)</f>
        <v>6</v>
      </c>
      <c r="S20" s="61">
        <f>WEEKDAY(Table_BDD[[#This Row],[Horodatage cloture]])</f>
        <v>3</v>
      </c>
      <c r="T20" s="63">
        <f>HOUR(Table_BDD[[#This Row],[Horodatage cloture]])</f>
        <v>17</v>
      </c>
      <c r="U20" s="68">
        <f>IF(Table_BDD[[#This Row],[Position]]="","",IF(Table_BDD[[#This Row],[Valeur début de journée unique]]&lt;&gt;0,1,0))</f>
        <v>0</v>
      </c>
      <c r="V20" s="68" t="str">
        <f>IF(Table_BDD[[#This Row],[Nb de séance de trading]]=1,COUNTIF(Table_BDD[Date],Table_BDD[[#This Row],[Date]]),"")</f>
        <v/>
      </c>
      <c r="W20" s="33">
        <f>IF(Table_BDD[[#This Row],[Position]]="","",IF(Table_BDD[[#This Row],[Type]]="buy",ROUND(Table_BDD[[#This Row],[Lvl Entrée]]-Table_BDD[[#This Row],[S / L]],1),ROUND(Table_BDD[[#This Row],[S / L]]-Table_BDD[[#This Row],[Lvl Entrée]],1)))</f>
        <v>10</v>
      </c>
      <c r="X20" s="33">
        <f>IF(Table_BDD[[#This Row],[Position]]="","",IF(Table_BDD[[#This Row],[T / P]]=0,200,IF(Table_BDD[[#This Row],[Type]]="buy",ROUND(Table_BDD[[#This Row],[T / P]]-Table_BDD[[#This Row],[Lvl Entrée]],1),ROUND(Table_BDD[[#This Row],[Lvl Entrée]]-Table_BDD[[#This Row],[T / P]],1))))</f>
        <v>36.1</v>
      </c>
      <c r="Y20" s="34">
        <f>IF(Table_BDD[[#This Row],[Position]]="","",IF(Table_BDD[[#This Row],[Ecart du SL]]&gt;0,ROUND(ABS(Table_BDD[[#This Row],[Ecart du TP]])/ABS(Table_BDD[[#This Row],[Ecart du SL]]),1),ROUND(ABS(Table_BDD[[#This Row],[Ecart du TP]])/10,1)))</f>
        <v>3.6</v>
      </c>
      <c r="Z20" s="34">
        <f>IF(Table_BDD[[#This Row],[Position]]="","",IF(Table_BDD[[#This Row],[Ecart du SL]]&lt;0,IF(AND(Table_BDD[[#This Row],[Profit]]&gt;0,Table_BDD[[#This Row],[Type]]="sell"),ROUND((Table_BDD[[#This Row],[Lvl Entrée]]-Table_BDD[[#This Row],[Lvl Sortie]])/(10),1),IF(AND(Table_BDD[[#This Row],[Profit]]&gt;0,Table_BDD[[#This Row],[Type]]="buy"),ROUND((Table_BDD[[#This Row],[Lvl Sortie]]-Table_BDD[[#This Row],[Lvl Entrée]])/(10),1),)),IF(AND(Table_BDD[[#This Row],[Profit]]&gt;0,Table_BDD[[#This Row],[Type]]="sell"),ROUND((Table_BDD[[#This Row],[Lvl Entrée]]-Table_BDD[[#This Row],[Lvl Sortie]])/(Table_BDD[[#This Row],[S / L]]-Table_BDD[[#This Row],[Lvl Entrée]]),1),IF(AND(Table_BDD[[#This Row],[Profit]]&gt;0,Table_BDD[[#This Row],[Type]]="buy"),ROUND((Table_BDD[[#This Row],[Lvl Sortie]]-Table_BDD[[#This Row],[Lvl Entrée]])/(Table_BDD[[#This Row],[Lvl Entrée]]-Table_BDD[[#This Row],[S / L]]),1),ROUND(Table_BDD[[#This Row],[Points]]/10,1)))))</f>
        <v>-1</v>
      </c>
      <c r="AA20" s="32">
        <f>IF(Table_BDD[[#This Row],[Position]]="",AA19,Table_BDD[[#This Row],[Equité après trade]]-Table_BDD[[#This Row],[Profit]]-Table_BDD[[#This Row],[Echange]])</f>
        <v>998.75</v>
      </c>
      <c r="AB20" s="149">
        <f>$B$1+SUM($L$4:M20)</f>
        <v>994.17</v>
      </c>
      <c r="AC20" s="150">
        <f>IF(Table_BDD[[#This Row],[Position]]="","",_xlfn.MINIFS(Table_BDD[Horodatage ouverture],Table_BDD[Date],Table_BDD[Date]))</f>
        <v>43865.645729166667</v>
      </c>
      <c r="AD20" s="149">
        <f>VLOOKUP(_xlfn.MINIFS(Table_BDD[Horodatage ouverture],Table_BDD[Date],Table_BDD[Date]),Table_BDD[[Horodatage ouverture]:[Heure derniere valeur]],AA$2)</f>
        <v>1010.0300000000001</v>
      </c>
      <c r="AE20" s="149">
        <f>IF(VLOOKUP(_xlfn.MINIFS(Table_BDD[Horodatage ouverture],Table_BDD[Date],Table_BDD[Date]),Table_BDD[[Horodatage ouverture]:[Heure derniere valeur]],AA$2)=Table_BDD[[#This Row],[Equité avant trade]],VLOOKUP(_xlfn.MINIFS(Table_BDD[Horodatage ouverture],Table_BDD[Date],Table_BDD[Date]),Table_BDD[[Horodatage ouverture]:[Heure derniere valeur]],AA$2),0)</f>
        <v>0</v>
      </c>
      <c r="AF20" s="150">
        <f>IF(Table_BDD[[#This Row],[Position]]="","",_xlfn.MAXIFS(Table_BDD[Horodatage ouverture],Table_BDD[Date],Table_BDD[Date]))</f>
        <v>43865.841574074075</v>
      </c>
      <c r="AG20" s="32">
        <f>VLOOKUP(_xlfn.MAXIFS(Table_BDD[Horodatage cloture],Table_BDD[Date],Table_BDD[Date]),Table_BDD[[Horodatage ouverture]:[Heure derniere valeur]],AB$2)</f>
        <v>1011.88</v>
      </c>
      <c r="AH20" s="32">
        <f>IF(VLOOKUP(_xlfn.MAXIFS(Table_BDD[Horodatage cloture],Table_BDD[Date],Table_BDD[Date]),Table_BDD[[Horodatage ouverture]:[Heure derniere valeur]],AB$2)=Table_BDD[[#This Row],[Equité après trade]],VLOOKUP(_xlfn.MAXIFS(Table_BDD[Horodatage cloture],Table_BDD[Date],Table_BDD[Date]),Table_BDD[[Horodatage ouverture]:[Heure derniere valeur]],AB$2),0)</f>
        <v>0</v>
      </c>
      <c r="AI20" s="32" t="e">
        <f>IF(Table_BDD[[#This Row],[Valeur fin de journée unique]]=0,#N/A,Table_BDD[[#This Row],[Valeur fin de journée unique]])</f>
        <v>#N/A</v>
      </c>
      <c r="AJ20" s="35">
        <f>IF(Table_BDD[[#This Row],[Position]]="","",(Table_BDD[[#This Row],[Equité après trade]]-Table_BDD[[#This Row],[Equité avant trade]])/Table_BDD[[#This Row],[Equité avant trade]])</f>
        <v>-4.5857321652065493E-3</v>
      </c>
      <c r="AK20" s="35" t="str">
        <f>IFERROR(((INDEX(Table_BDD[[Trade n°]:[Valeur fin de journée unique]],Table_BDD[[#This Row],[Nb de trade du jour]]+Table_BDD[[#This Row],[Trade n°]]-1,21))-Table_BDD[[#This Row],[Valeur début de journée unique]])/Table_BDD[[#This Row],[Valeur début de journée unique]],"")</f>
        <v/>
      </c>
      <c r="AL20" s="32">
        <f>IF(Table_BDD[[#This Row],[Position]]="","",MAX(Table_BDD[[#This Row],[Cumul équité]],AL19))</f>
        <v>1019.44</v>
      </c>
      <c r="AM20" s="32">
        <f>IF(Table_BDD[[#This Row],[Position]]="","",MIN(Table_BDD[[#This Row],[Cumul équité]],AL19))</f>
        <v>994.17</v>
      </c>
      <c r="AN20" s="97">
        <f>IF(Table_BDD[[#This Row],[Sommet Drawdown]]&gt;AL19,"",Table_BDD[[#This Row],[Creux Drawdown]]/Table_BDD[[#This Row],[Sommet Drawdown]]-1)</f>
        <v>-2.4788118967276285E-2</v>
      </c>
      <c r="AO20" s="36">
        <f>IF(Table_BDD[[#This Row],[Position]]="","",IF(Table_BDD[[#This Row],[Type]]="buy",ROUND(Table_BDD[[#This Row],[Lvl Sortie]]-Table_BDD[[#This Row],[Lvl Entrée]],1),ROUND(Table_BDD[[#This Row],[Lvl Entrée]]-Table_BDD[[#This Row],[Lvl Sortie]],1)))</f>
        <v>-10.1</v>
      </c>
      <c r="AP20" s="36" t="str">
        <f>IF(Table_BDD[[#This Row],[Points]]&gt;0,Table_BDD[[#This Row],[Points]],"")</f>
        <v/>
      </c>
      <c r="AQ20" s="36">
        <f>IF(Table_BDD[[#This Row],[Points]]&lt;0,Table_BDD[[#This Row],[Points]],"")</f>
        <v>-10.1</v>
      </c>
      <c r="AR20" s="36">
        <f>SUM($AO$4:AO20)</f>
        <v>-12.899999999999993</v>
      </c>
      <c r="AS20" s="68">
        <f>IF(Table_BDD[[#This Row],[Position]]="","",IF(Table_BDD[[#This Row],[Conformité]]="Conforme",1,0))</f>
        <v>0</v>
      </c>
      <c r="AT20" s="68">
        <f>IF(Table_BDD[[#This Row],[Position]]="","",IF(Table_BDD[[#This Row],[Conformité]]="Non conforme",1,0))</f>
        <v>1</v>
      </c>
      <c r="AU20" s="37" t="s">
        <v>17</v>
      </c>
      <c r="AV20" s="37"/>
      <c r="AW20" s="37"/>
      <c r="AX20" s="37">
        <v>0</v>
      </c>
      <c r="AY20" s="37">
        <v>0</v>
      </c>
      <c r="AZ20" s="37">
        <v>0</v>
      </c>
      <c r="BA20" s="37" t="str">
        <f>IF(Table_BDD[[#This Row],[Position]]="","Sans objet",IF(AND(Table_BDD[[#This Row],[Type]]="sell",Table_BDD[[#This Row],[S / L]]&lt;Table_BDD[[#This Row],[Lvl Entrée]],Table_BDD[[#This Row],[Lvl Sortie]]&lt;=Table_BDD[[#This Row],[S / L]]+2,Table_BDD[[#This Row],[Lvl Sortie]]&lt;Table_BDD[[#This Row],[Lvl Entrée]]-19),"Oui",IF(AND(Table_BDD[[#This Row],[Type]]="buy",Table_BDD[[#This Row],[S / L]]&gt;Table_BDD[[#This Row],[Lvl Entrée]],Table_BDD[[#This Row],[Lvl Sortie]]&gt;=Table_BDD[[#This Row],[S / L]]-2,Table_BDD[[#This Row],[S / L]]&gt;Table_BDD[[#This Row],[Lvl Entrée]]+19),"Oui","Non")))</f>
        <v>Non</v>
      </c>
      <c r="BB20" s="37" t="str">
        <f>IF(Table_BDD[[#This Row],[Position]]="","Sans objet",IF(AND(Table_BDD[[#This Row],[Type]]="sell",Table_BDD[[#This Row],[S / L]]&lt;Table_BDD[[#This Row],[Lvl Entrée]],Table_BDD[[#This Row],[Points]]&gt;=-1),"Oui",IF(AND(Table_BDD[[#This Row],[Type]]="sell",Table_BDD[[#This Row],[S / L]]&gt;Table_BDD[[#This Row],[Lvl Entrée]]),"Non",IF(AND(Table_BDD[[#This Row],[Type]]="buy",Table_BDD[[#This Row],[S / L]]&lt;Table_BDD[[#This Row],[Lvl Entrée]]),"Non",IF(AND(Table_BDD[[#This Row],[Type]]="buy",Table_BDD[[#This Row],[S / L]]&gt;Table_BDD[[#This Row],[Lvl Entrée]],Table_BDD[[#This Row],[Points]]&gt;=-1),"Oui")))))</f>
        <v>Non</v>
      </c>
      <c r="BC20" s="37" t="str">
        <f>IF(Table_BDD[[#This Row],[Position]]="","Sans objet",IF(Table_BDD[[#This Row],[T / P]]="","Non",IF(AND(Table_BDD[[#This Row],[Type]]="sell",Table_BDD[[#This Row],[Lvl Sortie]]&lt;=Table_BDD[[#This Row],[T / P]]),"Oui",IF(AND(Table_BDD[[#This Row],[Type]]="buy",Table_BDD[[#This Row],[Lvl Sortie]]&gt;=Table_BDD[[#This Row],[T / P]]),"Oui","Non"))))</f>
        <v>Non</v>
      </c>
      <c r="BD20" s="91">
        <f t="array" ref="BD20">IFERROR(INDEX(downloadFile[#All],MATCH(Table_BDD[[#This Row],[Date]],downloadFile[[#All],[Column1]],0),2),BD19)</f>
        <v>1.1048</v>
      </c>
      <c r="BE20" s="89">
        <f>IF(Table_BDD[[#This Row],[Position]]="","",IF(Table_BDD[[#This Row],[Symbole]]="UsaInd",(Table_BDD[[#This Row],[Volume]]*Table_BDD[[#This Row],[Lvl Entrée]])/(Table_BDD[[#This Row],[Equité avant trade]]*Table_BDD[[#This Row],[EUR/USD]]),IF(Table_BDD[[#This Row],[Symbole]]="Ger30",(Table_BDD[[#This Row],[Volume]]*Table_BDD[[#This Row],[Lvl Entrée]])/Table_BDD[[#This Row],[Equité avant trade]],)))</f>
        <v>13.085491549447671</v>
      </c>
      <c r="BF20" s="38">
        <f>IF(Table_BDD[[#This Row],[Position]]="","",IF(Table_BDD[[#This Row],[Conformité]]="Non conforme",0,(MROUND(3*((Table_BDD[[#This Row],[Conviction]]+Table_BDD[[#This Row],[Timing]]+Table_BDD[[#This Row],[Sortie]])+1)-2,1))))</f>
        <v>0</v>
      </c>
      <c r="BG20" s="38" t="str">
        <f>IF(Table_BDD[[#This Row],[Position]]="","",IF(Table_BDD[[#This Row],[Points]]&lt;-5,"--",IF(AND(Table_BDD[[#This Row],[Points]]&gt;=-5,Table_BDD[[#This Row],[Points]]&lt;-1.5),"-",IF(AND(Table_BDD[[#This Row],[Points]]&gt;=-1.5,Table_BDD[[#This Row],[Points]]&lt;1.5),"0",IF(AND(Table_BDD[[#This Row],[Points]]&gt;=1.5,Table_BDD[[#This Row],[Points]]&lt;=70),"+",IF(Table_BDD[[#This Row],[Points]]&gt;70,"++"))))))</f>
        <v>--</v>
      </c>
      <c r="BH20" s="37" t="str">
        <f>IF(Table_BDD[[#This Row],[Position]]="","",IF(Table_BDD[[#This Row],[Points]]&gt;0,"Gagnant",IF(Table_BDD[[#This Row],[Points]]=0,"Flat","Perdant")))</f>
        <v>Perdant</v>
      </c>
      <c r="BI20" s="40">
        <f>IF(Table_BDD[[#This Row],[Position]]="","",IF(Table_BDD[[#This Row],[Résultat]]="Gagnant",1,0))</f>
        <v>0</v>
      </c>
      <c r="BJ20" s="40">
        <f>IF(Table_BDD[[#This Row],[Position]]="","",IF(Table_BDD[[#This Row],[Résultat]]="Perdant",1,0))</f>
        <v>1</v>
      </c>
      <c r="BK20" s="40"/>
      <c r="BL20" s="145">
        <f>IF(Table_BDD[[#This Row],[T / P]]="","",Table_BDD[[#This Row],[T / P]])</f>
        <v>28841.43</v>
      </c>
      <c r="BM20" s="147"/>
      <c r="BN20" s="147"/>
      <c r="BO20" s="147"/>
      <c r="BP20" s="147"/>
      <c r="BQ20" s="127"/>
    </row>
    <row r="21" spans="1:69" x14ac:dyDescent="0.2">
      <c r="A21" s="93">
        <v>43865.740995370368</v>
      </c>
      <c r="B21" s="94">
        <v>259454672</v>
      </c>
      <c r="C21" s="37" t="s">
        <v>8</v>
      </c>
      <c r="D21" s="37" t="s">
        <v>9</v>
      </c>
      <c r="E21" s="37">
        <v>0.5</v>
      </c>
      <c r="F21" s="95">
        <v>28888.76</v>
      </c>
      <c r="G21" s="95">
        <v>28878.76</v>
      </c>
      <c r="H21" s="95">
        <v>28930.31</v>
      </c>
      <c r="I21" s="28">
        <v>43865.741770833331</v>
      </c>
      <c r="J21" s="95">
        <v>28878.52</v>
      </c>
      <c r="K21" s="95">
        <v>0</v>
      </c>
      <c r="L21" s="95">
        <v>0</v>
      </c>
      <c r="M21" s="32">
        <v>-4.6399999999999997</v>
      </c>
      <c r="N21" s="148">
        <f>IF(Table_BDD[[#This Row],[Position]]="","",ROW()-3)</f>
        <v>18</v>
      </c>
      <c r="O21" s="32">
        <f>SUM($L$4:M21)</f>
        <v>-10.469999999999999</v>
      </c>
      <c r="P21" s="32">
        <f>Table_BDD[[#This Row],[Equité avant trade]]+Table_BDD[[#This Row],[Profit]]+Table_BDD[[#This Row],[Echange]]</f>
        <v>989.53</v>
      </c>
      <c r="Q21" s="52">
        <f>INT(Table_BDD[[#This Row],[Horodatage cloture]])</f>
        <v>43865</v>
      </c>
      <c r="R21" s="34">
        <f>WEEKNUM(Table_BDD[[#This Row],[Horodatage cloture]],2)</f>
        <v>6</v>
      </c>
      <c r="S21" s="61">
        <f>WEEKDAY(Table_BDD[[#This Row],[Horodatage cloture]])</f>
        <v>3</v>
      </c>
      <c r="T21" s="63">
        <f>HOUR(Table_BDD[[#This Row],[Horodatage cloture]])</f>
        <v>17</v>
      </c>
      <c r="U21" s="68">
        <f>IF(Table_BDD[[#This Row],[Position]]="","",IF(Table_BDD[[#This Row],[Valeur début de journée unique]]&lt;&gt;0,1,0))</f>
        <v>0</v>
      </c>
      <c r="V21" s="68" t="str">
        <f>IF(Table_BDD[[#This Row],[Nb de séance de trading]]=1,COUNTIF(Table_BDD[Date],Table_BDD[[#This Row],[Date]]),"")</f>
        <v/>
      </c>
      <c r="W21" s="33">
        <f>IF(Table_BDD[[#This Row],[Position]]="","",IF(Table_BDD[[#This Row],[Type]]="buy",ROUND(Table_BDD[[#This Row],[Lvl Entrée]]-Table_BDD[[#This Row],[S / L]],1),ROUND(Table_BDD[[#This Row],[S / L]]-Table_BDD[[#This Row],[Lvl Entrée]],1)))</f>
        <v>10</v>
      </c>
      <c r="X21" s="33">
        <f>IF(Table_BDD[[#This Row],[Position]]="","",IF(Table_BDD[[#This Row],[T / P]]=0,200,IF(Table_BDD[[#This Row],[Type]]="buy",ROUND(Table_BDD[[#This Row],[T / P]]-Table_BDD[[#This Row],[Lvl Entrée]],1),ROUND(Table_BDD[[#This Row],[Lvl Entrée]]-Table_BDD[[#This Row],[T / P]],1))))</f>
        <v>41.6</v>
      </c>
      <c r="Y21" s="34">
        <f>IF(Table_BDD[[#This Row],[Position]]="","",IF(Table_BDD[[#This Row],[Ecart du SL]]&gt;0,ROUND(ABS(Table_BDD[[#This Row],[Ecart du TP]])/ABS(Table_BDD[[#This Row],[Ecart du SL]]),1),ROUND(ABS(Table_BDD[[#This Row],[Ecart du TP]])/10,1)))</f>
        <v>4.2</v>
      </c>
      <c r="Z21" s="34">
        <f>IF(Table_BDD[[#This Row],[Position]]="","",IF(Table_BDD[[#This Row],[Ecart du SL]]&lt;0,IF(AND(Table_BDD[[#This Row],[Profit]]&gt;0,Table_BDD[[#This Row],[Type]]="sell"),ROUND((Table_BDD[[#This Row],[Lvl Entrée]]-Table_BDD[[#This Row],[Lvl Sortie]])/(10),1),IF(AND(Table_BDD[[#This Row],[Profit]]&gt;0,Table_BDD[[#This Row],[Type]]="buy"),ROUND((Table_BDD[[#This Row],[Lvl Sortie]]-Table_BDD[[#This Row],[Lvl Entrée]])/(10),1),)),IF(AND(Table_BDD[[#This Row],[Profit]]&gt;0,Table_BDD[[#This Row],[Type]]="sell"),ROUND((Table_BDD[[#This Row],[Lvl Entrée]]-Table_BDD[[#This Row],[Lvl Sortie]])/(Table_BDD[[#This Row],[S / L]]-Table_BDD[[#This Row],[Lvl Entrée]]),1),IF(AND(Table_BDD[[#This Row],[Profit]]&gt;0,Table_BDD[[#This Row],[Type]]="buy"),ROUND((Table_BDD[[#This Row],[Lvl Sortie]]-Table_BDD[[#This Row],[Lvl Entrée]])/(Table_BDD[[#This Row],[Lvl Entrée]]-Table_BDD[[#This Row],[S / L]]),1),ROUND(Table_BDD[[#This Row],[Points]]/10,1)))))</f>
        <v>-1</v>
      </c>
      <c r="AA21" s="32">
        <f>IF(Table_BDD[[#This Row],[Position]]="",AA20,Table_BDD[[#This Row],[Equité après trade]]-Table_BDD[[#This Row],[Profit]]-Table_BDD[[#This Row],[Echange]])</f>
        <v>994.17</v>
      </c>
      <c r="AB21" s="149">
        <f>$B$1+SUM($L$4:M21)</f>
        <v>989.53</v>
      </c>
      <c r="AC21" s="150">
        <f>IF(Table_BDD[[#This Row],[Position]]="","",_xlfn.MINIFS(Table_BDD[Horodatage ouverture],Table_BDD[Date],Table_BDD[Date]))</f>
        <v>43865.645729166667</v>
      </c>
      <c r="AD21" s="149">
        <f>VLOOKUP(_xlfn.MINIFS(Table_BDD[Horodatage ouverture],Table_BDD[Date],Table_BDD[Date]),Table_BDD[[Horodatage ouverture]:[Heure derniere valeur]],AA$2)</f>
        <v>1010.0300000000001</v>
      </c>
      <c r="AE21" s="149">
        <f>IF(VLOOKUP(_xlfn.MINIFS(Table_BDD[Horodatage ouverture],Table_BDD[Date],Table_BDD[Date]),Table_BDD[[Horodatage ouverture]:[Heure derniere valeur]],AA$2)=Table_BDD[[#This Row],[Equité avant trade]],VLOOKUP(_xlfn.MINIFS(Table_BDD[Horodatage ouverture],Table_BDD[Date],Table_BDD[Date]),Table_BDD[[Horodatage ouverture]:[Heure derniere valeur]],AA$2),0)</f>
        <v>0</v>
      </c>
      <c r="AF21" s="150">
        <f>IF(Table_BDD[[#This Row],[Position]]="","",_xlfn.MAXIFS(Table_BDD[Horodatage ouverture],Table_BDD[Date],Table_BDD[Date]))</f>
        <v>43865.841574074075</v>
      </c>
      <c r="AG21" s="32">
        <f>VLOOKUP(_xlfn.MAXIFS(Table_BDD[Horodatage cloture],Table_BDD[Date],Table_BDD[Date]),Table_BDD[[Horodatage ouverture]:[Heure derniere valeur]],AB$2)</f>
        <v>1011.88</v>
      </c>
      <c r="AH21" s="32">
        <f>IF(VLOOKUP(_xlfn.MAXIFS(Table_BDD[Horodatage cloture],Table_BDD[Date],Table_BDD[Date]),Table_BDD[[Horodatage ouverture]:[Heure derniere valeur]],AB$2)=Table_BDD[[#This Row],[Equité après trade]],VLOOKUP(_xlfn.MAXIFS(Table_BDD[Horodatage cloture],Table_BDD[Date],Table_BDD[Date]),Table_BDD[[Horodatage ouverture]:[Heure derniere valeur]],AB$2),0)</f>
        <v>0</v>
      </c>
      <c r="AI21" s="32" t="e">
        <f>IF(Table_BDD[[#This Row],[Valeur fin de journée unique]]=0,#N/A,Table_BDD[[#This Row],[Valeur fin de journée unique]])</f>
        <v>#N/A</v>
      </c>
      <c r="AJ21" s="35">
        <f>IF(Table_BDD[[#This Row],[Position]]="","",(Table_BDD[[#This Row],[Equité après trade]]-Table_BDD[[#This Row],[Equité avant trade]])/Table_BDD[[#This Row],[Equité avant trade]])</f>
        <v>-4.6672098333282903E-3</v>
      </c>
      <c r="AK21" s="35" t="str">
        <f>IFERROR(((INDEX(Table_BDD[[Trade n°]:[Valeur fin de journée unique]],Table_BDD[[#This Row],[Nb de trade du jour]]+Table_BDD[[#This Row],[Trade n°]]-1,21))-Table_BDD[[#This Row],[Valeur début de journée unique]])/Table_BDD[[#This Row],[Valeur début de journée unique]],"")</f>
        <v/>
      </c>
      <c r="AL21" s="32">
        <f>IF(Table_BDD[[#This Row],[Position]]="","",MAX(Table_BDD[[#This Row],[Cumul équité]],AL20))</f>
        <v>1019.44</v>
      </c>
      <c r="AM21" s="32">
        <f>IF(Table_BDD[[#This Row],[Position]]="","",MIN(Table_BDD[[#This Row],[Cumul équité]],AL20))</f>
        <v>989.53</v>
      </c>
      <c r="AN21" s="97">
        <f>IF(Table_BDD[[#This Row],[Sommet Drawdown]]&gt;AL20,"",Table_BDD[[#This Row],[Creux Drawdown]]/Table_BDD[[#This Row],[Sommet Drawdown]]-1)</f>
        <v>-2.9339637448010714E-2</v>
      </c>
      <c r="AO21" s="36">
        <f>IF(Table_BDD[[#This Row],[Position]]="","",IF(Table_BDD[[#This Row],[Type]]="buy",ROUND(Table_BDD[[#This Row],[Lvl Sortie]]-Table_BDD[[#This Row],[Lvl Entrée]],1),ROUND(Table_BDD[[#This Row],[Lvl Entrée]]-Table_BDD[[#This Row],[Lvl Sortie]],1)))</f>
        <v>-10.199999999999999</v>
      </c>
      <c r="AP21" s="36" t="str">
        <f>IF(Table_BDD[[#This Row],[Points]]&gt;0,Table_BDD[[#This Row],[Points]],"")</f>
        <v/>
      </c>
      <c r="AQ21" s="36">
        <f>IF(Table_BDD[[#This Row],[Points]]&lt;0,Table_BDD[[#This Row],[Points]],"")</f>
        <v>-10.199999999999999</v>
      </c>
      <c r="AR21" s="36">
        <f>SUM($AO$4:AO21)</f>
        <v>-23.099999999999994</v>
      </c>
      <c r="AS21" s="68">
        <f>IF(Table_BDD[[#This Row],[Position]]="","",IF(Table_BDD[[#This Row],[Conformité]]="Conforme",1,0))</f>
        <v>0</v>
      </c>
      <c r="AT21" s="68">
        <f>IF(Table_BDD[[#This Row],[Position]]="","",IF(Table_BDD[[#This Row],[Conformité]]="Non conforme",1,0))</f>
        <v>1</v>
      </c>
      <c r="AU21" s="37" t="s">
        <v>17</v>
      </c>
      <c r="AV21" s="37"/>
      <c r="AW21" s="37"/>
      <c r="AX21" s="37">
        <v>0</v>
      </c>
      <c r="AY21" s="37">
        <v>0</v>
      </c>
      <c r="AZ21" s="37">
        <v>0</v>
      </c>
      <c r="BA21" s="37" t="str">
        <f>IF(Table_BDD[[#This Row],[Position]]="","Sans objet",IF(AND(Table_BDD[[#This Row],[Type]]="sell",Table_BDD[[#This Row],[S / L]]&lt;Table_BDD[[#This Row],[Lvl Entrée]],Table_BDD[[#This Row],[Lvl Sortie]]&lt;=Table_BDD[[#This Row],[S / L]]+2,Table_BDD[[#This Row],[Lvl Sortie]]&lt;Table_BDD[[#This Row],[Lvl Entrée]]-19),"Oui",IF(AND(Table_BDD[[#This Row],[Type]]="buy",Table_BDD[[#This Row],[S / L]]&gt;Table_BDD[[#This Row],[Lvl Entrée]],Table_BDD[[#This Row],[Lvl Sortie]]&gt;=Table_BDD[[#This Row],[S / L]]-2,Table_BDD[[#This Row],[S / L]]&gt;Table_BDD[[#This Row],[Lvl Entrée]]+19),"Oui","Non")))</f>
        <v>Non</v>
      </c>
      <c r="BB21" s="37" t="str">
        <f>IF(Table_BDD[[#This Row],[Position]]="","Sans objet",IF(AND(Table_BDD[[#This Row],[Type]]="sell",Table_BDD[[#This Row],[S / L]]&lt;Table_BDD[[#This Row],[Lvl Entrée]],Table_BDD[[#This Row],[Points]]&gt;=-1),"Oui",IF(AND(Table_BDD[[#This Row],[Type]]="sell",Table_BDD[[#This Row],[S / L]]&gt;Table_BDD[[#This Row],[Lvl Entrée]]),"Non",IF(AND(Table_BDD[[#This Row],[Type]]="buy",Table_BDD[[#This Row],[S / L]]&lt;Table_BDD[[#This Row],[Lvl Entrée]]),"Non",IF(AND(Table_BDD[[#This Row],[Type]]="buy",Table_BDD[[#This Row],[S / L]]&gt;Table_BDD[[#This Row],[Lvl Entrée]],Table_BDD[[#This Row],[Points]]&gt;=-1),"Oui")))))</f>
        <v>Non</v>
      </c>
      <c r="BC21" s="37" t="str">
        <f>IF(Table_BDD[[#This Row],[Position]]="","Sans objet",IF(Table_BDD[[#This Row],[T / P]]="","Non",IF(AND(Table_BDD[[#This Row],[Type]]="sell",Table_BDD[[#This Row],[Lvl Sortie]]&lt;=Table_BDD[[#This Row],[T / P]]),"Oui",IF(AND(Table_BDD[[#This Row],[Type]]="buy",Table_BDD[[#This Row],[Lvl Sortie]]&gt;=Table_BDD[[#This Row],[T / P]]),"Oui","Non"))))</f>
        <v>Non</v>
      </c>
      <c r="BD21" s="91">
        <f t="array" ref="BD21">IFERROR(INDEX(downloadFile[#All],MATCH(Table_BDD[[#This Row],[Date]],downloadFile[[#All],[Column1]],0),2),BD20)</f>
        <v>1.1048</v>
      </c>
      <c r="BE21" s="89">
        <f>IF(Table_BDD[[#This Row],[Position]]="","",IF(Table_BDD[[#This Row],[Symbole]]="UsaInd",(Table_BDD[[#This Row],[Volume]]*Table_BDD[[#This Row],[Lvl Entrée]])/(Table_BDD[[#This Row],[Equité avant trade]]*Table_BDD[[#This Row],[EUR/USD]]),IF(Table_BDD[[#This Row],[Symbole]]="Ger30",(Table_BDD[[#This Row],[Volume]]*Table_BDD[[#This Row],[Lvl Entrée]])/Table_BDD[[#This Row],[Equité avant trade]],)))</f>
        <v>13.150873065715336</v>
      </c>
      <c r="BF21" s="38">
        <f>IF(Table_BDD[[#This Row],[Position]]="","",IF(Table_BDD[[#This Row],[Conformité]]="Non conforme",0,(MROUND(3*((Table_BDD[[#This Row],[Conviction]]+Table_BDD[[#This Row],[Timing]]+Table_BDD[[#This Row],[Sortie]])+1)-2,1))))</f>
        <v>0</v>
      </c>
      <c r="BG21" s="38" t="str">
        <f>IF(Table_BDD[[#This Row],[Position]]="","",IF(Table_BDD[[#This Row],[Points]]&lt;-5,"--",IF(AND(Table_BDD[[#This Row],[Points]]&gt;=-5,Table_BDD[[#This Row],[Points]]&lt;-1.5),"-",IF(AND(Table_BDD[[#This Row],[Points]]&gt;=-1.5,Table_BDD[[#This Row],[Points]]&lt;1.5),"0",IF(AND(Table_BDD[[#This Row],[Points]]&gt;=1.5,Table_BDD[[#This Row],[Points]]&lt;=70),"+",IF(Table_BDD[[#This Row],[Points]]&gt;70,"++"))))))</f>
        <v>--</v>
      </c>
      <c r="BH21" s="37" t="str">
        <f>IF(Table_BDD[[#This Row],[Position]]="","",IF(Table_BDD[[#This Row],[Points]]&gt;0,"Gagnant",IF(Table_BDD[[#This Row],[Points]]=0,"Flat","Perdant")))</f>
        <v>Perdant</v>
      </c>
      <c r="BI21" s="40">
        <f>IF(Table_BDD[[#This Row],[Position]]="","",IF(Table_BDD[[#This Row],[Résultat]]="Gagnant",1,0))</f>
        <v>0</v>
      </c>
      <c r="BJ21" s="40">
        <f>IF(Table_BDD[[#This Row],[Position]]="","",IF(Table_BDD[[#This Row],[Résultat]]="Perdant",1,0))</f>
        <v>1</v>
      </c>
      <c r="BK21" s="40"/>
      <c r="BL21" s="145">
        <f>IF(Table_BDD[[#This Row],[T / P]]="","",Table_BDD[[#This Row],[T / P]])</f>
        <v>28930.31</v>
      </c>
      <c r="BM21" s="147"/>
      <c r="BN21" s="147"/>
      <c r="BO21" s="147"/>
      <c r="BP21" s="147"/>
      <c r="BQ21" s="127"/>
    </row>
    <row r="22" spans="1:69" x14ac:dyDescent="0.2">
      <c r="A22" s="93">
        <v>43865.742199074077</v>
      </c>
      <c r="B22" s="94">
        <v>259454753</v>
      </c>
      <c r="C22" s="37" t="s">
        <v>8</v>
      </c>
      <c r="D22" s="37" t="s">
        <v>10</v>
      </c>
      <c r="E22" s="37">
        <v>0.5</v>
      </c>
      <c r="F22" s="95">
        <v>28877.58</v>
      </c>
      <c r="G22" s="95">
        <v>28887.58</v>
      </c>
      <c r="H22" s="95">
        <v>28792.58</v>
      </c>
      <c r="I22" s="28">
        <v>43865.753437500003</v>
      </c>
      <c r="J22" s="95">
        <v>28887.86</v>
      </c>
      <c r="K22" s="95">
        <v>0</v>
      </c>
      <c r="L22" s="95">
        <v>0</v>
      </c>
      <c r="M22" s="32">
        <v>-4.6500000000000004</v>
      </c>
      <c r="N22" s="148">
        <f>IF(Table_BDD[[#This Row],[Position]]="","",ROW()-3)</f>
        <v>19</v>
      </c>
      <c r="O22" s="32">
        <f>SUM($L$4:M22)</f>
        <v>-15.12</v>
      </c>
      <c r="P22" s="32">
        <f>Table_BDD[[#This Row],[Equité avant trade]]+Table_BDD[[#This Row],[Profit]]+Table_BDD[[#This Row],[Echange]]</f>
        <v>984.88</v>
      </c>
      <c r="Q22" s="52">
        <f>INT(Table_BDD[[#This Row],[Horodatage cloture]])</f>
        <v>43865</v>
      </c>
      <c r="R22" s="34">
        <f>WEEKNUM(Table_BDD[[#This Row],[Horodatage cloture]],2)</f>
        <v>6</v>
      </c>
      <c r="S22" s="61">
        <f>WEEKDAY(Table_BDD[[#This Row],[Horodatage cloture]])</f>
        <v>3</v>
      </c>
      <c r="T22" s="63">
        <f>HOUR(Table_BDD[[#This Row],[Horodatage cloture]])</f>
        <v>18</v>
      </c>
      <c r="U22" s="68">
        <f>IF(Table_BDD[[#This Row],[Position]]="","",IF(Table_BDD[[#This Row],[Valeur début de journée unique]]&lt;&gt;0,1,0))</f>
        <v>0</v>
      </c>
      <c r="V22" s="68" t="str">
        <f>IF(Table_BDD[[#This Row],[Nb de séance de trading]]=1,COUNTIF(Table_BDD[Date],Table_BDD[[#This Row],[Date]]),"")</f>
        <v/>
      </c>
      <c r="W22" s="33">
        <f>IF(Table_BDD[[#This Row],[Position]]="","",IF(Table_BDD[[#This Row],[Type]]="buy",ROUND(Table_BDD[[#This Row],[Lvl Entrée]]-Table_BDD[[#This Row],[S / L]],1),ROUND(Table_BDD[[#This Row],[S / L]]-Table_BDD[[#This Row],[Lvl Entrée]],1)))</f>
        <v>10</v>
      </c>
      <c r="X22" s="33">
        <f>IF(Table_BDD[[#This Row],[Position]]="","",IF(Table_BDD[[#This Row],[T / P]]=0,200,IF(Table_BDD[[#This Row],[Type]]="buy",ROUND(Table_BDD[[#This Row],[T / P]]-Table_BDD[[#This Row],[Lvl Entrée]],1),ROUND(Table_BDD[[#This Row],[Lvl Entrée]]-Table_BDD[[#This Row],[T / P]],1))))</f>
        <v>85</v>
      </c>
      <c r="Y22" s="34">
        <f>IF(Table_BDD[[#This Row],[Position]]="","",IF(Table_BDD[[#This Row],[Ecart du SL]]&gt;0,ROUND(ABS(Table_BDD[[#This Row],[Ecart du TP]])/ABS(Table_BDD[[#This Row],[Ecart du SL]]),1),ROUND(ABS(Table_BDD[[#This Row],[Ecart du TP]])/10,1)))</f>
        <v>8.5</v>
      </c>
      <c r="Z22" s="34">
        <f>IF(Table_BDD[[#This Row],[Position]]="","",IF(Table_BDD[[#This Row],[Ecart du SL]]&lt;0,IF(AND(Table_BDD[[#This Row],[Profit]]&gt;0,Table_BDD[[#This Row],[Type]]="sell"),ROUND((Table_BDD[[#This Row],[Lvl Entrée]]-Table_BDD[[#This Row],[Lvl Sortie]])/(10),1),IF(AND(Table_BDD[[#This Row],[Profit]]&gt;0,Table_BDD[[#This Row],[Type]]="buy"),ROUND((Table_BDD[[#This Row],[Lvl Sortie]]-Table_BDD[[#This Row],[Lvl Entrée]])/(10),1),)),IF(AND(Table_BDD[[#This Row],[Profit]]&gt;0,Table_BDD[[#This Row],[Type]]="sell"),ROUND((Table_BDD[[#This Row],[Lvl Entrée]]-Table_BDD[[#This Row],[Lvl Sortie]])/(Table_BDD[[#This Row],[S / L]]-Table_BDD[[#This Row],[Lvl Entrée]]),1),IF(AND(Table_BDD[[#This Row],[Profit]]&gt;0,Table_BDD[[#This Row],[Type]]="buy"),ROUND((Table_BDD[[#This Row],[Lvl Sortie]]-Table_BDD[[#This Row],[Lvl Entrée]])/(Table_BDD[[#This Row],[Lvl Entrée]]-Table_BDD[[#This Row],[S / L]]),1),ROUND(Table_BDD[[#This Row],[Points]]/10,1)))))</f>
        <v>-1</v>
      </c>
      <c r="AA22" s="32">
        <f>IF(Table_BDD[[#This Row],[Position]]="",AA21,Table_BDD[[#This Row],[Equité après trade]]-Table_BDD[[#This Row],[Profit]]-Table_BDD[[#This Row],[Echange]])</f>
        <v>989.53</v>
      </c>
      <c r="AB22" s="149">
        <f>$B$1+SUM($L$4:M22)</f>
        <v>984.88</v>
      </c>
      <c r="AC22" s="150">
        <f>IF(Table_BDD[[#This Row],[Position]]="","",_xlfn.MINIFS(Table_BDD[Horodatage ouverture],Table_BDD[Date],Table_BDD[Date]))</f>
        <v>43865.645729166667</v>
      </c>
      <c r="AD22" s="149">
        <f>VLOOKUP(_xlfn.MINIFS(Table_BDD[Horodatage ouverture],Table_BDD[Date],Table_BDD[Date]),Table_BDD[[Horodatage ouverture]:[Heure derniere valeur]],AA$2)</f>
        <v>1010.0300000000001</v>
      </c>
      <c r="AE22" s="149">
        <f>IF(VLOOKUP(_xlfn.MINIFS(Table_BDD[Horodatage ouverture],Table_BDD[Date],Table_BDD[Date]),Table_BDD[[Horodatage ouverture]:[Heure derniere valeur]],AA$2)=Table_BDD[[#This Row],[Equité avant trade]],VLOOKUP(_xlfn.MINIFS(Table_BDD[Horodatage ouverture],Table_BDD[Date],Table_BDD[Date]),Table_BDD[[Horodatage ouverture]:[Heure derniere valeur]],AA$2),0)</f>
        <v>0</v>
      </c>
      <c r="AF22" s="150">
        <f>IF(Table_BDD[[#This Row],[Position]]="","",_xlfn.MAXIFS(Table_BDD[Horodatage ouverture],Table_BDD[Date],Table_BDD[Date]))</f>
        <v>43865.841574074075</v>
      </c>
      <c r="AG22" s="32">
        <f>VLOOKUP(_xlfn.MAXIFS(Table_BDD[Horodatage cloture],Table_BDD[Date],Table_BDD[Date]),Table_BDD[[Horodatage ouverture]:[Heure derniere valeur]],AB$2)</f>
        <v>1011.88</v>
      </c>
      <c r="AH22" s="32">
        <f>IF(VLOOKUP(_xlfn.MAXIFS(Table_BDD[Horodatage cloture],Table_BDD[Date],Table_BDD[Date]),Table_BDD[[Horodatage ouverture]:[Heure derniere valeur]],AB$2)=Table_BDD[[#This Row],[Equité après trade]],VLOOKUP(_xlfn.MAXIFS(Table_BDD[Horodatage cloture],Table_BDD[Date],Table_BDD[Date]),Table_BDD[[Horodatage ouverture]:[Heure derniere valeur]],AB$2),0)</f>
        <v>0</v>
      </c>
      <c r="AI22" s="32" t="e">
        <f>IF(Table_BDD[[#This Row],[Valeur fin de journée unique]]=0,#N/A,Table_BDD[[#This Row],[Valeur fin de journée unique]])</f>
        <v>#N/A</v>
      </c>
      <c r="AJ22" s="35">
        <f>IF(Table_BDD[[#This Row],[Position]]="","",(Table_BDD[[#This Row],[Equité après trade]]-Table_BDD[[#This Row],[Equité avant trade]])/Table_BDD[[#This Row],[Equité avant trade]])</f>
        <v>-4.6992006306023843E-3</v>
      </c>
      <c r="AK22" s="35" t="str">
        <f>IFERROR(((INDEX(Table_BDD[[Trade n°]:[Valeur fin de journée unique]],Table_BDD[[#This Row],[Nb de trade du jour]]+Table_BDD[[#This Row],[Trade n°]]-1,21))-Table_BDD[[#This Row],[Valeur début de journée unique]])/Table_BDD[[#This Row],[Valeur début de journée unique]],"")</f>
        <v/>
      </c>
      <c r="AL22" s="32">
        <f>IF(Table_BDD[[#This Row],[Position]]="","",MAX(Table_BDD[[#This Row],[Cumul équité]],AL21))</f>
        <v>1019.44</v>
      </c>
      <c r="AM22" s="32">
        <f>IF(Table_BDD[[#This Row],[Position]]="","",MIN(Table_BDD[[#This Row],[Cumul équité]],AL21))</f>
        <v>984.88</v>
      </c>
      <c r="AN22" s="97">
        <f>IF(Table_BDD[[#This Row],[Sommet Drawdown]]&gt;AL21,"",Table_BDD[[#This Row],[Creux Drawdown]]/Table_BDD[[#This Row],[Sommet Drawdown]]-1)</f>
        <v>-3.3900965235815761E-2</v>
      </c>
      <c r="AO22" s="36">
        <f>IF(Table_BDD[[#This Row],[Position]]="","",IF(Table_BDD[[#This Row],[Type]]="buy",ROUND(Table_BDD[[#This Row],[Lvl Sortie]]-Table_BDD[[#This Row],[Lvl Entrée]],1),ROUND(Table_BDD[[#This Row],[Lvl Entrée]]-Table_BDD[[#This Row],[Lvl Sortie]],1)))</f>
        <v>-10.3</v>
      </c>
      <c r="AP22" s="36" t="str">
        <f>IF(Table_BDD[[#This Row],[Points]]&gt;0,Table_BDD[[#This Row],[Points]],"")</f>
        <v/>
      </c>
      <c r="AQ22" s="36">
        <f>IF(Table_BDD[[#This Row],[Points]]&lt;0,Table_BDD[[#This Row],[Points]],"")</f>
        <v>-10.3</v>
      </c>
      <c r="AR22" s="36">
        <f>SUM($AO$4:AO22)</f>
        <v>-33.399999999999991</v>
      </c>
      <c r="AS22" s="68">
        <f>IF(Table_BDD[[#This Row],[Position]]="","",IF(Table_BDD[[#This Row],[Conformité]]="Conforme",1,0))</f>
        <v>0</v>
      </c>
      <c r="AT22" s="68">
        <f>IF(Table_BDD[[#This Row],[Position]]="","",IF(Table_BDD[[#This Row],[Conformité]]="Non conforme",1,0))</f>
        <v>1</v>
      </c>
      <c r="AU22" s="37" t="s">
        <v>17</v>
      </c>
      <c r="AV22" s="37"/>
      <c r="AW22" s="37"/>
      <c r="AX22" s="37">
        <v>0</v>
      </c>
      <c r="AY22" s="37">
        <v>0</v>
      </c>
      <c r="AZ22" s="37">
        <v>0</v>
      </c>
      <c r="BA22" s="37" t="str">
        <f>IF(Table_BDD[[#This Row],[Position]]="","Sans objet",IF(AND(Table_BDD[[#This Row],[Type]]="sell",Table_BDD[[#This Row],[S / L]]&lt;Table_BDD[[#This Row],[Lvl Entrée]],Table_BDD[[#This Row],[Lvl Sortie]]&lt;=Table_BDD[[#This Row],[S / L]]+2,Table_BDD[[#This Row],[Lvl Sortie]]&lt;Table_BDD[[#This Row],[Lvl Entrée]]-19),"Oui",IF(AND(Table_BDD[[#This Row],[Type]]="buy",Table_BDD[[#This Row],[S / L]]&gt;Table_BDD[[#This Row],[Lvl Entrée]],Table_BDD[[#This Row],[Lvl Sortie]]&gt;=Table_BDD[[#This Row],[S / L]]-2,Table_BDD[[#This Row],[S / L]]&gt;Table_BDD[[#This Row],[Lvl Entrée]]+19),"Oui","Non")))</f>
        <v>Non</v>
      </c>
      <c r="BB22" s="37" t="str">
        <f>IF(Table_BDD[[#This Row],[Position]]="","Sans objet",IF(AND(Table_BDD[[#This Row],[Type]]="sell",Table_BDD[[#This Row],[S / L]]&lt;Table_BDD[[#This Row],[Lvl Entrée]],Table_BDD[[#This Row],[Points]]&gt;=-1),"Oui",IF(AND(Table_BDD[[#This Row],[Type]]="sell",Table_BDD[[#This Row],[S / L]]&gt;Table_BDD[[#This Row],[Lvl Entrée]]),"Non",IF(AND(Table_BDD[[#This Row],[Type]]="buy",Table_BDD[[#This Row],[S / L]]&lt;Table_BDD[[#This Row],[Lvl Entrée]]),"Non",IF(AND(Table_BDD[[#This Row],[Type]]="buy",Table_BDD[[#This Row],[S / L]]&gt;Table_BDD[[#This Row],[Lvl Entrée]],Table_BDD[[#This Row],[Points]]&gt;=-1),"Oui")))))</f>
        <v>Non</v>
      </c>
      <c r="BC22" s="37" t="str">
        <f>IF(Table_BDD[[#This Row],[Position]]="","Sans objet",IF(Table_BDD[[#This Row],[T / P]]="","Non",IF(AND(Table_BDD[[#This Row],[Type]]="sell",Table_BDD[[#This Row],[Lvl Sortie]]&lt;=Table_BDD[[#This Row],[T / P]]),"Oui",IF(AND(Table_BDD[[#This Row],[Type]]="buy",Table_BDD[[#This Row],[Lvl Sortie]]&gt;=Table_BDD[[#This Row],[T / P]]),"Oui","Non"))))</f>
        <v>Non</v>
      </c>
      <c r="BD22" s="91">
        <f t="array" ref="BD22">IFERROR(INDEX(downloadFile[#All],MATCH(Table_BDD[[#This Row],[Date]],downloadFile[[#All],[Column1]],0),2),BD21)</f>
        <v>1.1048</v>
      </c>
      <c r="BE22" s="89">
        <f>IF(Table_BDD[[#This Row],[Position]]="","",IF(Table_BDD[[#This Row],[Symbole]]="UsaInd",(Table_BDD[[#This Row],[Volume]]*Table_BDD[[#This Row],[Lvl Entrée]])/(Table_BDD[[#This Row],[Equité avant trade]]*Table_BDD[[#This Row],[EUR/USD]]),IF(Table_BDD[[#This Row],[Symbole]]="Ger30",(Table_BDD[[#This Row],[Volume]]*Table_BDD[[#This Row],[Lvl Entrée]])/Table_BDD[[#This Row],[Equité avant trade]],)))</f>
        <v>13.207425481211164</v>
      </c>
      <c r="BF22" s="38">
        <f>IF(Table_BDD[[#This Row],[Position]]="","",IF(Table_BDD[[#This Row],[Conformité]]="Non conforme",0,(MROUND(3*((Table_BDD[[#This Row],[Conviction]]+Table_BDD[[#This Row],[Timing]]+Table_BDD[[#This Row],[Sortie]])+1)-2,1))))</f>
        <v>0</v>
      </c>
      <c r="BG22" s="38" t="str">
        <f>IF(Table_BDD[[#This Row],[Position]]="","",IF(Table_BDD[[#This Row],[Points]]&lt;-5,"--",IF(AND(Table_BDD[[#This Row],[Points]]&gt;=-5,Table_BDD[[#This Row],[Points]]&lt;-1.5),"-",IF(AND(Table_BDD[[#This Row],[Points]]&gt;=-1.5,Table_BDD[[#This Row],[Points]]&lt;1.5),"0",IF(AND(Table_BDD[[#This Row],[Points]]&gt;=1.5,Table_BDD[[#This Row],[Points]]&lt;=70),"+",IF(Table_BDD[[#This Row],[Points]]&gt;70,"++"))))))</f>
        <v>--</v>
      </c>
      <c r="BH22" s="37" t="str">
        <f>IF(Table_BDD[[#This Row],[Position]]="","",IF(Table_BDD[[#This Row],[Points]]&gt;0,"Gagnant",IF(Table_BDD[[#This Row],[Points]]=0,"Flat","Perdant")))</f>
        <v>Perdant</v>
      </c>
      <c r="BI22" s="40">
        <f>IF(Table_BDD[[#This Row],[Position]]="","",IF(Table_BDD[[#This Row],[Résultat]]="Gagnant",1,0))</f>
        <v>0</v>
      </c>
      <c r="BJ22" s="40">
        <f>IF(Table_BDD[[#This Row],[Position]]="","",IF(Table_BDD[[#This Row],[Résultat]]="Perdant",1,0))</f>
        <v>1</v>
      </c>
      <c r="BK22" s="40"/>
      <c r="BL22" s="145">
        <f>IF(Table_BDD[[#This Row],[T / P]]="","",Table_BDD[[#This Row],[T / P]])</f>
        <v>28792.58</v>
      </c>
      <c r="BM22" s="147"/>
      <c r="BN22" s="147"/>
      <c r="BO22" s="147"/>
      <c r="BP22" s="147"/>
      <c r="BQ22" s="127"/>
    </row>
    <row r="23" spans="1:69" x14ac:dyDescent="0.2">
      <c r="A23" s="93">
        <v>43865.754155092596</v>
      </c>
      <c r="B23" s="94">
        <v>259456028</v>
      </c>
      <c r="C23" s="37" t="s">
        <v>8</v>
      </c>
      <c r="D23" s="37" t="s">
        <v>10</v>
      </c>
      <c r="E23" s="37">
        <v>0.5</v>
      </c>
      <c r="F23" s="95">
        <v>28878.58</v>
      </c>
      <c r="G23" s="95">
        <v>28888.58</v>
      </c>
      <c r="H23" s="95"/>
      <c r="I23" s="28">
        <v>43865.755104166667</v>
      </c>
      <c r="J23" s="95">
        <v>28888.79</v>
      </c>
      <c r="K23" s="95">
        <v>0</v>
      </c>
      <c r="L23" s="95">
        <v>0</v>
      </c>
      <c r="M23" s="32">
        <v>-4.63</v>
      </c>
      <c r="N23" s="148">
        <f>IF(Table_BDD[[#This Row],[Position]]="","",ROW()-3)</f>
        <v>20</v>
      </c>
      <c r="O23" s="32">
        <f>SUM($L$4:M23)</f>
        <v>-19.75</v>
      </c>
      <c r="P23" s="32">
        <f>Table_BDD[[#This Row],[Equité avant trade]]+Table_BDD[[#This Row],[Profit]]+Table_BDD[[#This Row],[Echange]]</f>
        <v>980.25</v>
      </c>
      <c r="Q23" s="52">
        <f>INT(Table_BDD[[#This Row],[Horodatage cloture]])</f>
        <v>43865</v>
      </c>
      <c r="R23" s="34">
        <f>WEEKNUM(Table_BDD[[#This Row],[Horodatage cloture]],2)</f>
        <v>6</v>
      </c>
      <c r="S23" s="61">
        <f>WEEKDAY(Table_BDD[[#This Row],[Horodatage cloture]])</f>
        <v>3</v>
      </c>
      <c r="T23" s="63">
        <f>HOUR(Table_BDD[[#This Row],[Horodatage cloture]])</f>
        <v>18</v>
      </c>
      <c r="U23" s="68">
        <f>IF(Table_BDD[[#This Row],[Position]]="","",IF(Table_BDD[[#This Row],[Valeur début de journée unique]]&lt;&gt;0,1,0))</f>
        <v>0</v>
      </c>
      <c r="V23" s="68" t="str">
        <f>IF(Table_BDD[[#This Row],[Nb de séance de trading]]=1,COUNTIF(Table_BDD[Date],Table_BDD[[#This Row],[Date]]),"")</f>
        <v/>
      </c>
      <c r="W23" s="33">
        <f>IF(Table_BDD[[#This Row],[Position]]="","",IF(Table_BDD[[#This Row],[Type]]="buy",ROUND(Table_BDD[[#This Row],[Lvl Entrée]]-Table_BDD[[#This Row],[S / L]],1),ROUND(Table_BDD[[#This Row],[S / L]]-Table_BDD[[#This Row],[Lvl Entrée]],1)))</f>
        <v>10</v>
      </c>
      <c r="X23" s="33">
        <f>IF(Table_BDD[[#This Row],[Position]]="","",IF(Table_BDD[[#This Row],[T / P]]=0,200,IF(Table_BDD[[#This Row],[Type]]="buy",ROUND(Table_BDD[[#This Row],[T / P]]-Table_BDD[[#This Row],[Lvl Entrée]],1),ROUND(Table_BDD[[#This Row],[Lvl Entrée]]-Table_BDD[[#This Row],[T / P]],1))))</f>
        <v>200</v>
      </c>
      <c r="Y23" s="34">
        <f>IF(Table_BDD[[#This Row],[Position]]="","",IF(Table_BDD[[#This Row],[Ecart du SL]]&gt;0,ROUND(ABS(Table_BDD[[#This Row],[Ecart du TP]])/ABS(Table_BDD[[#This Row],[Ecart du SL]]),1),ROUND(ABS(Table_BDD[[#This Row],[Ecart du TP]])/10,1)))</f>
        <v>20</v>
      </c>
      <c r="Z23" s="34">
        <f>IF(Table_BDD[[#This Row],[Position]]="","",IF(Table_BDD[[#This Row],[Ecart du SL]]&lt;0,IF(AND(Table_BDD[[#This Row],[Profit]]&gt;0,Table_BDD[[#This Row],[Type]]="sell"),ROUND((Table_BDD[[#This Row],[Lvl Entrée]]-Table_BDD[[#This Row],[Lvl Sortie]])/(10),1),IF(AND(Table_BDD[[#This Row],[Profit]]&gt;0,Table_BDD[[#This Row],[Type]]="buy"),ROUND((Table_BDD[[#This Row],[Lvl Sortie]]-Table_BDD[[#This Row],[Lvl Entrée]])/(10),1),)),IF(AND(Table_BDD[[#This Row],[Profit]]&gt;0,Table_BDD[[#This Row],[Type]]="sell"),ROUND((Table_BDD[[#This Row],[Lvl Entrée]]-Table_BDD[[#This Row],[Lvl Sortie]])/(Table_BDD[[#This Row],[S / L]]-Table_BDD[[#This Row],[Lvl Entrée]]),1),IF(AND(Table_BDD[[#This Row],[Profit]]&gt;0,Table_BDD[[#This Row],[Type]]="buy"),ROUND((Table_BDD[[#This Row],[Lvl Sortie]]-Table_BDD[[#This Row],[Lvl Entrée]])/(Table_BDD[[#This Row],[Lvl Entrée]]-Table_BDD[[#This Row],[S / L]]),1),ROUND(Table_BDD[[#This Row],[Points]]/10,1)))))</f>
        <v>-1</v>
      </c>
      <c r="AA23" s="32">
        <f>IF(Table_BDD[[#This Row],[Position]]="",AA22,Table_BDD[[#This Row],[Equité après trade]]-Table_BDD[[#This Row],[Profit]]-Table_BDD[[#This Row],[Echange]])</f>
        <v>984.88</v>
      </c>
      <c r="AB23" s="149">
        <f>$B$1+SUM($L$4:M23)</f>
        <v>980.25</v>
      </c>
      <c r="AC23" s="150">
        <f>IF(Table_BDD[[#This Row],[Position]]="","",_xlfn.MINIFS(Table_BDD[Horodatage ouverture],Table_BDD[Date],Table_BDD[Date]))</f>
        <v>43865.645729166667</v>
      </c>
      <c r="AD23" s="149">
        <f>VLOOKUP(_xlfn.MINIFS(Table_BDD[Horodatage ouverture],Table_BDD[Date],Table_BDD[Date]),Table_BDD[[Horodatage ouverture]:[Heure derniere valeur]],AA$2)</f>
        <v>1010.0300000000001</v>
      </c>
      <c r="AE23" s="149">
        <f>IF(VLOOKUP(_xlfn.MINIFS(Table_BDD[Horodatage ouverture],Table_BDD[Date],Table_BDD[Date]),Table_BDD[[Horodatage ouverture]:[Heure derniere valeur]],AA$2)=Table_BDD[[#This Row],[Equité avant trade]],VLOOKUP(_xlfn.MINIFS(Table_BDD[Horodatage ouverture],Table_BDD[Date],Table_BDD[Date]),Table_BDD[[Horodatage ouverture]:[Heure derniere valeur]],AA$2),0)</f>
        <v>0</v>
      </c>
      <c r="AF23" s="150">
        <f>IF(Table_BDD[[#This Row],[Position]]="","",_xlfn.MAXIFS(Table_BDD[Horodatage ouverture],Table_BDD[Date],Table_BDD[Date]))</f>
        <v>43865.841574074075</v>
      </c>
      <c r="AG23" s="32">
        <f>VLOOKUP(_xlfn.MAXIFS(Table_BDD[Horodatage cloture],Table_BDD[Date],Table_BDD[Date]),Table_BDD[[Horodatage ouverture]:[Heure derniere valeur]],AB$2)</f>
        <v>1011.88</v>
      </c>
      <c r="AH23" s="32">
        <f>IF(VLOOKUP(_xlfn.MAXIFS(Table_BDD[Horodatage cloture],Table_BDD[Date],Table_BDD[Date]),Table_BDD[[Horodatage ouverture]:[Heure derniere valeur]],AB$2)=Table_BDD[[#This Row],[Equité après trade]],VLOOKUP(_xlfn.MAXIFS(Table_BDD[Horodatage cloture],Table_BDD[Date],Table_BDD[Date]),Table_BDD[[Horodatage ouverture]:[Heure derniere valeur]],AB$2),0)</f>
        <v>0</v>
      </c>
      <c r="AI23" s="32" t="e">
        <f>IF(Table_BDD[[#This Row],[Valeur fin de journée unique]]=0,#N/A,Table_BDD[[#This Row],[Valeur fin de journée unique]])</f>
        <v>#N/A</v>
      </c>
      <c r="AJ23" s="35">
        <f>IF(Table_BDD[[#This Row],[Position]]="","",(Table_BDD[[#This Row],[Equité après trade]]-Table_BDD[[#This Row],[Equité avant trade]])/Table_BDD[[#This Row],[Equité avant trade]])</f>
        <v>-4.7010803346600556E-3</v>
      </c>
      <c r="AK23" s="35" t="str">
        <f>IFERROR(((INDEX(Table_BDD[[Trade n°]:[Valeur fin de journée unique]],Table_BDD[[#This Row],[Nb de trade du jour]]+Table_BDD[[#This Row],[Trade n°]]-1,21))-Table_BDD[[#This Row],[Valeur début de journée unique]])/Table_BDD[[#This Row],[Valeur début de journée unique]],"")</f>
        <v/>
      </c>
      <c r="AL23" s="32">
        <f>IF(Table_BDD[[#This Row],[Position]]="","",MAX(Table_BDD[[#This Row],[Cumul équité]],AL22))</f>
        <v>1019.44</v>
      </c>
      <c r="AM23" s="32">
        <f>IF(Table_BDD[[#This Row],[Position]]="","",MIN(Table_BDD[[#This Row],[Cumul équité]],AL22))</f>
        <v>980.25</v>
      </c>
      <c r="AN23" s="97">
        <f>IF(Table_BDD[[#This Row],[Sommet Drawdown]]&gt;AL22,"",Table_BDD[[#This Row],[Creux Drawdown]]/Table_BDD[[#This Row],[Sommet Drawdown]]-1)</f>
        <v>-3.8442674409479793E-2</v>
      </c>
      <c r="AO23" s="36">
        <f>IF(Table_BDD[[#This Row],[Position]]="","",IF(Table_BDD[[#This Row],[Type]]="buy",ROUND(Table_BDD[[#This Row],[Lvl Sortie]]-Table_BDD[[#This Row],[Lvl Entrée]],1),ROUND(Table_BDD[[#This Row],[Lvl Entrée]]-Table_BDD[[#This Row],[Lvl Sortie]],1)))</f>
        <v>-10.199999999999999</v>
      </c>
      <c r="AP23" s="36" t="str">
        <f>IF(Table_BDD[[#This Row],[Points]]&gt;0,Table_BDD[[#This Row],[Points]],"")</f>
        <v/>
      </c>
      <c r="AQ23" s="36">
        <f>IF(Table_BDD[[#This Row],[Points]]&lt;0,Table_BDD[[#This Row],[Points]],"")</f>
        <v>-10.199999999999999</v>
      </c>
      <c r="AR23" s="36">
        <f>SUM($AO$4:AO23)</f>
        <v>-43.599999999999994</v>
      </c>
      <c r="AS23" s="68">
        <f>IF(Table_BDD[[#This Row],[Position]]="","",IF(Table_BDD[[#This Row],[Conformité]]="Conforme",1,0))</f>
        <v>0</v>
      </c>
      <c r="AT23" s="68">
        <f>IF(Table_BDD[[#This Row],[Position]]="","",IF(Table_BDD[[#This Row],[Conformité]]="Non conforme",1,0))</f>
        <v>1</v>
      </c>
      <c r="AU23" s="37" t="s">
        <v>17</v>
      </c>
      <c r="AV23" s="37"/>
      <c r="AW23" s="37"/>
      <c r="AX23" s="37">
        <v>0</v>
      </c>
      <c r="AY23" s="37">
        <v>0</v>
      </c>
      <c r="AZ23" s="37">
        <v>0</v>
      </c>
      <c r="BA23" s="37" t="str">
        <f>IF(Table_BDD[[#This Row],[Position]]="","Sans objet",IF(AND(Table_BDD[[#This Row],[Type]]="sell",Table_BDD[[#This Row],[S / L]]&lt;Table_BDD[[#This Row],[Lvl Entrée]],Table_BDD[[#This Row],[Lvl Sortie]]&lt;=Table_BDD[[#This Row],[S / L]]+2,Table_BDD[[#This Row],[Lvl Sortie]]&lt;Table_BDD[[#This Row],[Lvl Entrée]]-19),"Oui",IF(AND(Table_BDD[[#This Row],[Type]]="buy",Table_BDD[[#This Row],[S / L]]&gt;Table_BDD[[#This Row],[Lvl Entrée]],Table_BDD[[#This Row],[Lvl Sortie]]&gt;=Table_BDD[[#This Row],[S / L]]-2,Table_BDD[[#This Row],[S / L]]&gt;Table_BDD[[#This Row],[Lvl Entrée]]+19),"Oui","Non")))</f>
        <v>Non</v>
      </c>
      <c r="BB23" s="37" t="str">
        <f>IF(Table_BDD[[#This Row],[Position]]="","Sans objet",IF(AND(Table_BDD[[#This Row],[Type]]="sell",Table_BDD[[#This Row],[S / L]]&lt;Table_BDD[[#This Row],[Lvl Entrée]],Table_BDD[[#This Row],[Points]]&gt;=-1),"Oui",IF(AND(Table_BDD[[#This Row],[Type]]="sell",Table_BDD[[#This Row],[S / L]]&gt;Table_BDD[[#This Row],[Lvl Entrée]]),"Non",IF(AND(Table_BDD[[#This Row],[Type]]="buy",Table_BDD[[#This Row],[S / L]]&lt;Table_BDD[[#This Row],[Lvl Entrée]]),"Non",IF(AND(Table_BDD[[#This Row],[Type]]="buy",Table_BDD[[#This Row],[S / L]]&gt;Table_BDD[[#This Row],[Lvl Entrée]],Table_BDD[[#This Row],[Points]]&gt;=-1),"Oui")))))</f>
        <v>Non</v>
      </c>
      <c r="BC23" s="37" t="str">
        <f>IF(Table_BDD[[#This Row],[Position]]="","Sans objet",IF(Table_BDD[[#This Row],[T / P]]="","Non",IF(AND(Table_BDD[[#This Row],[Type]]="sell",Table_BDD[[#This Row],[Lvl Sortie]]&lt;=Table_BDD[[#This Row],[T / P]]),"Oui",IF(AND(Table_BDD[[#This Row],[Type]]="buy",Table_BDD[[#This Row],[Lvl Sortie]]&gt;=Table_BDD[[#This Row],[T / P]]),"Oui","Non"))))</f>
        <v>Non</v>
      </c>
      <c r="BD23" s="91">
        <f t="array" ref="BD23">IFERROR(INDEX(downloadFile[#All],MATCH(Table_BDD[[#This Row],[Date]],downloadFile[[#All],[Column1]],0),2),BD22)</f>
        <v>1.1048</v>
      </c>
      <c r="BE23" s="89">
        <f>IF(Table_BDD[[#This Row],[Position]]="","",IF(Table_BDD[[#This Row],[Symbole]]="UsaInd",(Table_BDD[[#This Row],[Volume]]*Table_BDD[[#This Row],[Lvl Entrée]])/(Table_BDD[[#This Row],[Equité avant trade]]*Table_BDD[[#This Row],[EUR/USD]]),IF(Table_BDD[[#This Row],[Symbole]]="Ger30",(Table_BDD[[#This Row],[Volume]]*Table_BDD[[#This Row],[Lvl Entrée]])/Table_BDD[[#This Row],[Equité avant trade]],)))</f>
        <v>13.270242371683754</v>
      </c>
      <c r="BF23" s="38">
        <f>IF(Table_BDD[[#This Row],[Position]]="","",IF(Table_BDD[[#This Row],[Conformité]]="Non conforme",0,(MROUND(3*((Table_BDD[[#This Row],[Conviction]]+Table_BDD[[#This Row],[Timing]]+Table_BDD[[#This Row],[Sortie]])+1)-2,1))))</f>
        <v>0</v>
      </c>
      <c r="BG23" s="38" t="str">
        <f>IF(Table_BDD[[#This Row],[Position]]="","",IF(Table_BDD[[#This Row],[Points]]&lt;-5,"--",IF(AND(Table_BDD[[#This Row],[Points]]&gt;=-5,Table_BDD[[#This Row],[Points]]&lt;-1.5),"-",IF(AND(Table_BDD[[#This Row],[Points]]&gt;=-1.5,Table_BDD[[#This Row],[Points]]&lt;1.5),"0",IF(AND(Table_BDD[[#This Row],[Points]]&gt;=1.5,Table_BDD[[#This Row],[Points]]&lt;=70),"+",IF(Table_BDD[[#This Row],[Points]]&gt;70,"++"))))))</f>
        <v>--</v>
      </c>
      <c r="BH23" s="37" t="str">
        <f>IF(Table_BDD[[#This Row],[Position]]="","",IF(Table_BDD[[#This Row],[Points]]&gt;0,"Gagnant",IF(Table_BDD[[#This Row],[Points]]=0,"Flat","Perdant")))</f>
        <v>Perdant</v>
      </c>
      <c r="BI23" s="40">
        <f>IF(Table_BDD[[#This Row],[Position]]="","",IF(Table_BDD[[#This Row],[Résultat]]="Gagnant",1,0))</f>
        <v>0</v>
      </c>
      <c r="BJ23" s="40">
        <f>IF(Table_BDD[[#This Row],[Position]]="","",IF(Table_BDD[[#This Row],[Résultat]]="Perdant",1,0))</f>
        <v>1</v>
      </c>
      <c r="BK23" s="40"/>
      <c r="BL23" s="145" t="str">
        <f>IF(Table_BDD[[#This Row],[T / P]]="","",Table_BDD[[#This Row],[T / P]])</f>
        <v/>
      </c>
      <c r="BM23" s="147"/>
      <c r="BN23" s="147"/>
      <c r="BO23" s="147"/>
      <c r="BP23" s="147"/>
      <c r="BQ23" s="127"/>
    </row>
    <row r="24" spans="1:69" x14ac:dyDescent="0.2">
      <c r="A24" s="93">
        <v>43865.755312499998</v>
      </c>
      <c r="B24" s="94">
        <v>259456099</v>
      </c>
      <c r="C24" s="37" t="s">
        <v>8</v>
      </c>
      <c r="D24" s="37" t="s">
        <v>10</v>
      </c>
      <c r="E24" s="37">
        <v>0.5</v>
      </c>
      <c r="F24" s="95">
        <v>28885.53</v>
      </c>
      <c r="G24" s="95">
        <v>28895.53</v>
      </c>
      <c r="H24" s="95">
        <v>28785.53</v>
      </c>
      <c r="I24" s="28">
        <v>43865.758425925924</v>
      </c>
      <c r="J24" s="95">
        <v>28895.8</v>
      </c>
      <c r="K24" s="95">
        <v>0</v>
      </c>
      <c r="L24" s="95">
        <v>0</v>
      </c>
      <c r="M24" s="32">
        <v>-4.6500000000000004</v>
      </c>
      <c r="N24" s="148">
        <f>IF(Table_BDD[[#This Row],[Position]]="","",ROW()-3)</f>
        <v>21</v>
      </c>
      <c r="O24" s="32">
        <f>SUM($L$4:M24)</f>
        <v>-24.4</v>
      </c>
      <c r="P24" s="32">
        <f>Table_BDD[[#This Row],[Equité avant trade]]+Table_BDD[[#This Row],[Profit]]+Table_BDD[[#This Row],[Echange]]</f>
        <v>975.6</v>
      </c>
      <c r="Q24" s="52">
        <f>INT(Table_BDD[[#This Row],[Horodatage cloture]])</f>
        <v>43865</v>
      </c>
      <c r="R24" s="34">
        <f>WEEKNUM(Table_BDD[[#This Row],[Horodatage cloture]],2)</f>
        <v>6</v>
      </c>
      <c r="S24" s="61">
        <f>WEEKDAY(Table_BDD[[#This Row],[Horodatage cloture]])</f>
        <v>3</v>
      </c>
      <c r="T24" s="63">
        <f>HOUR(Table_BDD[[#This Row],[Horodatage cloture]])</f>
        <v>18</v>
      </c>
      <c r="U24" s="68">
        <f>IF(Table_BDD[[#This Row],[Position]]="","",IF(Table_BDD[[#This Row],[Valeur début de journée unique]]&lt;&gt;0,1,0))</f>
        <v>0</v>
      </c>
      <c r="V24" s="68" t="str">
        <f>IF(Table_BDD[[#This Row],[Nb de séance de trading]]=1,COUNTIF(Table_BDD[Date],Table_BDD[[#This Row],[Date]]),"")</f>
        <v/>
      </c>
      <c r="W24" s="33">
        <f>IF(Table_BDD[[#This Row],[Position]]="","",IF(Table_BDD[[#This Row],[Type]]="buy",ROUND(Table_BDD[[#This Row],[Lvl Entrée]]-Table_BDD[[#This Row],[S / L]],1),ROUND(Table_BDD[[#This Row],[S / L]]-Table_BDD[[#This Row],[Lvl Entrée]],1)))</f>
        <v>10</v>
      </c>
      <c r="X24" s="33">
        <f>IF(Table_BDD[[#This Row],[Position]]="","",IF(Table_BDD[[#This Row],[T / P]]=0,200,IF(Table_BDD[[#This Row],[Type]]="buy",ROUND(Table_BDD[[#This Row],[T / P]]-Table_BDD[[#This Row],[Lvl Entrée]],1),ROUND(Table_BDD[[#This Row],[Lvl Entrée]]-Table_BDD[[#This Row],[T / P]],1))))</f>
        <v>100</v>
      </c>
      <c r="Y24" s="34">
        <f>IF(Table_BDD[[#This Row],[Position]]="","",IF(Table_BDD[[#This Row],[Ecart du SL]]&gt;0,ROUND(ABS(Table_BDD[[#This Row],[Ecart du TP]])/ABS(Table_BDD[[#This Row],[Ecart du SL]]),1),ROUND(ABS(Table_BDD[[#This Row],[Ecart du TP]])/10,1)))</f>
        <v>10</v>
      </c>
      <c r="Z24" s="34">
        <f>IF(Table_BDD[[#This Row],[Position]]="","",IF(Table_BDD[[#This Row],[Ecart du SL]]&lt;0,IF(AND(Table_BDD[[#This Row],[Profit]]&gt;0,Table_BDD[[#This Row],[Type]]="sell"),ROUND((Table_BDD[[#This Row],[Lvl Entrée]]-Table_BDD[[#This Row],[Lvl Sortie]])/(10),1),IF(AND(Table_BDD[[#This Row],[Profit]]&gt;0,Table_BDD[[#This Row],[Type]]="buy"),ROUND((Table_BDD[[#This Row],[Lvl Sortie]]-Table_BDD[[#This Row],[Lvl Entrée]])/(10),1),)),IF(AND(Table_BDD[[#This Row],[Profit]]&gt;0,Table_BDD[[#This Row],[Type]]="sell"),ROUND((Table_BDD[[#This Row],[Lvl Entrée]]-Table_BDD[[#This Row],[Lvl Sortie]])/(Table_BDD[[#This Row],[S / L]]-Table_BDD[[#This Row],[Lvl Entrée]]),1),IF(AND(Table_BDD[[#This Row],[Profit]]&gt;0,Table_BDD[[#This Row],[Type]]="buy"),ROUND((Table_BDD[[#This Row],[Lvl Sortie]]-Table_BDD[[#This Row],[Lvl Entrée]])/(Table_BDD[[#This Row],[Lvl Entrée]]-Table_BDD[[#This Row],[S / L]]),1),ROUND(Table_BDD[[#This Row],[Points]]/10,1)))))</f>
        <v>-1</v>
      </c>
      <c r="AA24" s="32">
        <f>IF(Table_BDD[[#This Row],[Position]]="",AA23,Table_BDD[[#This Row],[Equité après trade]]-Table_BDD[[#This Row],[Profit]]-Table_BDD[[#This Row],[Echange]])</f>
        <v>980.25</v>
      </c>
      <c r="AB24" s="149">
        <f>$B$1+SUM($L$4:M24)</f>
        <v>975.6</v>
      </c>
      <c r="AC24" s="150">
        <f>IF(Table_BDD[[#This Row],[Position]]="","",_xlfn.MINIFS(Table_BDD[Horodatage ouverture],Table_BDD[Date],Table_BDD[Date]))</f>
        <v>43865.645729166667</v>
      </c>
      <c r="AD24" s="149">
        <f>VLOOKUP(_xlfn.MINIFS(Table_BDD[Horodatage ouverture],Table_BDD[Date],Table_BDD[Date]),Table_BDD[[Horodatage ouverture]:[Heure derniere valeur]],AA$2)</f>
        <v>1010.0300000000001</v>
      </c>
      <c r="AE24" s="149">
        <f>IF(VLOOKUP(_xlfn.MINIFS(Table_BDD[Horodatage ouverture],Table_BDD[Date],Table_BDD[Date]),Table_BDD[[Horodatage ouverture]:[Heure derniere valeur]],AA$2)=Table_BDD[[#This Row],[Equité avant trade]],VLOOKUP(_xlfn.MINIFS(Table_BDD[Horodatage ouverture],Table_BDD[Date],Table_BDD[Date]),Table_BDD[[Horodatage ouverture]:[Heure derniere valeur]],AA$2),0)</f>
        <v>0</v>
      </c>
      <c r="AF24" s="150">
        <f>IF(Table_BDD[[#This Row],[Position]]="","",_xlfn.MAXIFS(Table_BDD[Horodatage ouverture],Table_BDD[Date],Table_BDD[Date]))</f>
        <v>43865.841574074075</v>
      </c>
      <c r="AG24" s="32">
        <f>VLOOKUP(_xlfn.MAXIFS(Table_BDD[Horodatage cloture],Table_BDD[Date],Table_BDD[Date]),Table_BDD[[Horodatage ouverture]:[Heure derniere valeur]],AB$2)</f>
        <v>1011.88</v>
      </c>
      <c r="AH24" s="32">
        <f>IF(VLOOKUP(_xlfn.MAXIFS(Table_BDD[Horodatage cloture],Table_BDD[Date],Table_BDD[Date]),Table_BDD[[Horodatage ouverture]:[Heure derniere valeur]],AB$2)=Table_BDD[[#This Row],[Equité après trade]],VLOOKUP(_xlfn.MAXIFS(Table_BDD[Horodatage cloture],Table_BDD[Date],Table_BDD[Date]),Table_BDD[[Horodatage ouverture]:[Heure derniere valeur]],AB$2),0)</f>
        <v>0</v>
      </c>
      <c r="AI24" s="32" t="e">
        <f>IF(Table_BDD[[#This Row],[Valeur fin de journée unique]]=0,#N/A,Table_BDD[[#This Row],[Valeur fin de journée unique]])</f>
        <v>#N/A</v>
      </c>
      <c r="AJ24" s="35">
        <f>IF(Table_BDD[[#This Row],[Position]]="","",(Table_BDD[[#This Row],[Equité après trade]]-Table_BDD[[#This Row],[Equité avant trade]])/Table_BDD[[#This Row],[Equité avant trade]])</f>
        <v>-4.7436878347360137E-3</v>
      </c>
      <c r="AK24" s="35" t="str">
        <f>IFERROR(((INDEX(Table_BDD[[Trade n°]:[Valeur fin de journée unique]],Table_BDD[[#This Row],[Nb de trade du jour]]+Table_BDD[[#This Row],[Trade n°]]-1,21))-Table_BDD[[#This Row],[Valeur début de journée unique]])/Table_BDD[[#This Row],[Valeur début de journée unique]],"")</f>
        <v/>
      </c>
      <c r="AL24" s="32">
        <f>IF(Table_BDD[[#This Row],[Position]]="","",MAX(Table_BDD[[#This Row],[Cumul équité]],AL23))</f>
        <v>1019.44</v>
      </c>
      <c r="AM24" s="32">
        <f>IF(Table_BDD[[#This Row],[Position]]="","",MIN(Table_BDD[[#This Row],[Cumul équité]],AL23))</f>
        <v>975.6</v>
      </c>
      <c r="AN24" s="97">
        <f>IF(Table_BDD[[#This Row],[Sommet Drawdown]]&gt;AL23,"",Table_BDD[[#This Row],[Creux Drawdown]]/Table_BDD[[#This Row],[Sommet Drawdown]]-1)</f>
        <v>-4.3004002197284841E-2</v>
      </c>
      <c r="AO24" s="36">
        <f>IF(Table_BDD[[#This Row],[Position]]="","",IF(Table_BDD[[#This Row],[Type]]="buy",ROUND(Table_BDD[[#This Row],[Lvl Sortie]]-Table_BDD[[#This Row],[Lvl Entrée]],1),ROUND(Table_BDD[[#This Row],[Lvl Entrée]]-Table_BDD[[#This Row],[Lvl Sortie]],1)))</f>
        <v>-10.3</v>
      </c>
      <c r="AP24" s="36" t="str">
        <f>IF(Table_BDD[[#This Row],[Points]]&gt;0,Table_BDD[[#This Row],[Points]],"")</f>
        <v/>
      </c>
      <c r="AQ24" s="36">
        <f>IF(Table_BDD[[#This Row],[Points]]&lt;0,Table_BDD[[#This Row],[Points]],"")</f>
        <v>-10.3</v>
      </c>
      <c r="AR24" s="36">
        <f>SUM($AO$4:AO24)</f>
        <v>-53.899999999999991</v>
      </c>
      <c r="AS24" s="68">
        <f>IF(Table_BDD[[#This Row],[Position]]="","",IF(Table_BDD[[#This Row],[Conformité]]="Conforme",1,0))</f>
        <v>0</v>
      </c>
      <c r="AT24" s="68">
        <f>IF(Table_BDD[[#This Row],[Position]]="","",IF(Table_BDD[[#This Row],[Conformité]]="Non conforme",1,0))</f>
        <v>1</v>
      </c>
      <c r="AU24" s="37" t="s">
        <v>17</v>
      </c>
      <c r="AV24" s="37"/>
      <c r="AW24" s="37"/>
      <c r="AX24" s="37">
        <v>0</v>
      </c>
      <c r="AY24" s="37">
        <v>0</v>
      </c>
      <c r="AZ24" s="37">
        <v>0</v>
      </c>
      <c r="BA24" s="37" t="str">
        <f>IF(Table_BDD[[#This Row],[Position]]="","Sans objet",IF(AND(Table_BDD[[#This Row],[Type]]="sell",Table_BDD[[#This Row],[S / L]]&lt;Table_BDD[[#This Row],[Lvl Entrée]],Table_BDD[[#This Row],[Lvl Sortie]]&lt;=Table_BDD[[#This Row],[S / L]]+2,Table_BDD[[#This Row],[Lvl Sortie]]&lt;Table_BDD[[#This Row],[Lvl Entrée]]-19),"Oui",IF(AND(Table_BDD[[#This Row],[Type]]="buy",Table_BDD[[#This Row],[S / L]]&gt;Table_BDD[[#This Row],[Lvl Entrée]],Table_BDD[[#This Row],[Lvl Sortie]]&gt;=Table_BDD[[#This Row],[S / L]]-2,Table_BDD[[#This Row],[S / L]]&gt;Table_BDD[[#This Row],[Lvl Entrée]]+19),"Oui","Non")))</f>
        <v>Non</v>
      </c>
      <c r="BB24" s="37" t="str">
        <f>IF(Table_BDD[[#This Row],[Position]]="","Sans objet",IF(AND(Table_BDD[[#This Row],[Type]]="sell",Table_BDD[[#This Row],[S / L]]&lt;Table_BDD[[#This Row],[Lvl Entrée]],Table_BDD[[#This Row],[Points]]&gt;=-1),"Oui",IF(AND(Table_BDD[[#This Row],[Type]]="sell",Table_BDD[[#This Row],[S / L]]&gt;Table_BDD[[#This Row],[Lvl Entrée]]),"Non",IF(AND(Table_BDD[[#This Row],[Type]]="buy",Table_BDD[[#This Row],[S / L]]&lt;Table_BDD[[#This Row],[Lvl Entrée]]),"Non",IF(AND(Table_BDD[[#This Row],[Type]]="buy",Table_BDD[[#This Row],[S / L]]&gt;Table_BDD[[#This Row],[Lvl Entrée]],Table_BDD[[#This Row],[Points]]&gt;=-1),"Oui")))))</f>
        <v>Non</v>
      </c>
      <c r="BC24" s="37" t="str">
        <f>IF(Table_BDD[[#This Row],[Position]]="","Sans objet",IF(Table_BDD[[#This Row],[T / P]]="","Non",IF(AND(Table_BDD[[#This Row],[Type]]="sell",Table_BDD[[#This Row],[Lvl Sortie]]&lt;=Table_BDD[[#This Row],[T / P]]),"Oui",IF(AND(Table_BDD[[#This Row],[Type]]="buy",Table_BDD[[#This Row],[Lvl Sortie]]&gt;=Table_BDD[[#This Row],[T / P]]),"Oui","Non"))))</f>
        <v>Non</v>
      </c>
      <c r="BD24" s="91">
        <f t="array" ref="BD24">IFERROR(INDEX(downloadFile[#All],MATCH(Table_BDD[[#This Row],[Date]],downloadFile[[#All],[Column1]],0),2),BD23)</f>
        <v>1.1048</v>
      </c>
      <c r="BE24" s="89">
        <f>IF(Table_BDD[[#This Row],[Position]]="","",IF(Table_BDD[[#This Row],[Symbole]]="UsaInd",(Table_BDD[[#This Row],[Volume]]*Table_BDD[[#This Row],[Lvl Entrée]])/(Table_BDD[[#This Row],[Equité avant trade]]*Table_BDD[[#This Row],[EUR/USD]]),IF(Table_BDD[[#This Row],[Symbole]]="Ger30",(Table_BDD[[#This Row],[Volume]]*Table_BDD[[#This Row],[Lvl Entrée]])/Table_BDD[[#This Row],[Equité avant trade]],)))</f>
        <v>13.336130245040492</v>
      </c>
      <c r="BF24" s="38">
        <f>IF(Table_BDD[[#This Row],[Position]]="","",IF(Table_BDD[[#This Row],[Conformité]]="Non conforme",0,(MROUND(3*((Table_BDD[[#This Row],[Conviction]]+Table_BDD[[#This Row],[Timing]]+Table_BDD[[#This Row],[Sortie]])+1)-2,1))))</f>
        <v>0</v>
      </c>
      <c r="BG24" s="38" t="str">
        <f>IF(Table_BDD[[#This Row],[Position]]="","",IF(Table_BDD[[#This Row],[Points]]&lt;-5,"--",IF(AND(Table_BDD[[#This Row],[Points]]&gt;=-5,Table_BDD[[#This Row],[Points]]&lt;-1.5),"-",IF(AND(Table_BDD[[#This Row],[Points]]&gt;=-1.5,Table_BDD[[#This Row],[Points]]&lt;1.5),"0",IF(AND(Table_BDD[[#This Row],[Points]]&gt;=1.5,Table_BDD[[#This Row],[Points]]&lt;=70),"+",IF(Table_BDD[[#This Row],[Points]]&gt;70,"++"))))))</f>
        <v>--</v>
      </c>
      <c r="BH24" s="37" t="str">
        <f>IF(Table_BDD[[#This Row],[Position]]="","",IF(Table_BDD[[#This Row],[Points]]&gt;0,"Gagnant",IF(Table_BDD[[#This Row],[Points]]=0,"Flat","Perdant")))</f>
        <v>Perdant</v>
      </c>
      <c r="BI24" s="40">
        <f>IF(Table_BDD[[#This Row],[Position]]="","",IF(Table_BDD[[#This Row],[Résultat]]="Gagnant",1,0))</f>
        <v>0</v>
      </c>
      <c r="BJ24" s="40">
        <f>IF(Table_BDD[[#This Row],[Position]]="","",IF(Table_BDD[[#This Row],[Résultat]]="Perdant",1,0))</f>
        <v>1</v>
      </c>
      <c r="BK24" s="40"/>
      <c r="BL24" s="145">
        <f>IF(Table_BDD[[#This Row],[T / P]]="","",Table_BDD[[#This Row],[T / P]])</f>
        <v>28785.53</v>
      </c>
      <c r="BM24" s="147"/>
      <c r="BN24" s="147"/>
      <c r="BO24" s="147"/>
      <c r="BP24" s="147"/>
      <c r="BQ24" s="127"/>
    </row>
    <row r="25" spans="1:69" x14ac:dyDescent="0.2">
      <c r="A25" s="93">
        <v>43865.758553240739</v>
      </c>
      <c r="B25" s="94">
        <v>259456360</v>
      </c>
      <c r="C25" s="37" t="s">
        <v>8</v>
      </c>
      <c r="D25" s="37" t="s">
        <v>10</v>
      </c>
      <c r="E25" s="37">
        <v>0.5</v>
      </c>
      <c r="F25" s="95">
        <v>28893.53</v>
      </c>
      <c r="G25" s="95">
        <v>28903.53</v>
      </c>
      <c r="H25" s="95">
        <v>28743.53</v>
      </c>
      <c r="I25" s="28">
        <v>43865.762083333335</v>
      </c>
      <c r="J25" s="95">
        <v>28903.85</v>
      </c>
      <c r="K25" s="95">
        <v>0</v>
      </c>
      <c r="L25" s="95">
        <v>0</v>
      </c>
      <c r="M25" s="32">
        <v>-4.67</v>
      </c>
      <c r="N25" s="148">
        <f>IF(Table_BDD[[#This Row],[Position]]="","",ROW()-3)</f>
        <v>22</v>
      </c>
      <c r="O25" s="32">
        <f>SUM($L$4:M25)</f>
        <v>-29.07</v>
      </c>
      <c r="P25" s="32">
        <f>Table_BDD[[#This Row],[Equité avant trade]]+Table_BDD[[#This Row],[Profit]]+Table_BDD[[#This Row],[Echange]]</f>
        <v>970.93</v>
      </c>
      <c r="Q25" s="52">
        <f>INT(Table_BDD[[#This Row],[Horodatage cloture]])</f>
        <v>43865</v>
      </c>
      <c r="R25" s="34">
        <f>WEEKNUM(Table_BDD[[#This Row],[Horodatage cloture]],2)</f>
        <v>6</v>
      </c>
      <c r="S25" s="61">
        <f>WEEKDAY(Table_BDD[[#This Row],[Horodatage cloture]])</f>
        <v>3</v>
      </c>
      <c r="T25" s="63">
        <f>HOUR(Table_BDD[[#This Row],[Horodatage cloture]])</f>
        <v>18</v>
      </c>
      <c r="U25" s="68">
        <f>IF(Table_BDD[[#This Row],[Position]]="","",IF(Table_BDD[[#This Row],[Valeur début de journée unique]]&lt;&gt;0,1,0))</f>
        <v>0</v>
      </c>
      <c r="V25" s="68" t="str">
        <f>IF(Table_BDD[[#This Row],[Nb de séance de trading]]=1,COUNTIF(Table_BDD[Date],Table_BDD[[#This Row],[Date]]),"")</f>
        <v/>
      </c>
      <c r="W25" s="33">
        <f>IF(Table_BDD[[#This Row],[Position]]="","",IF(Table_BDD[[#This Row],[Type]]="buy",ROUND(Table_BDD[[#This Row],[Lvl Entrée]]-Table_BDD[[#This Row],[S / L]],1),ROUND(Table_BDD[[#This Row],[S / L]]-Table_BDD[[#This Row],[Lvl Entrée]],1)))</f>
        <v>10</v>
      </c>
      <c r="X25" s="33">
        <f>IF(Table_BDD[[#This Row],[Position]]="","",IF(Table_BDD[[#This Row],[T / P]]=0,200,IF(Table_BDD[[#This Row],[Type]]="buy",ROUND(Table_BDD[[#This Row],[T / P]]-Table_BDD[[#This Row],[Lvl Entrée]],1),ROUND(Table_BDD[[#This Row],[Lvl Entrée]]-Table_BDD[[#This Row],[T / P]],1))))</f>
        <v>150</v>
      </c>
      <c r="Y25" s="34">
        <f>IF(Table_BDD[[#This Row],[Position]]="","",IF(Table_BDD[[#This Row],[Ecart du SL]]&gt;0,ROUND(ABS(Table_BDD[[#This Row],[Ecart du TP]])/ABS(Table_BDD[[#This Row],[Ecart du SL]]),1),ROUND(ABS(Table_BDD[[#This Row],[Ecart du TP]])/10,1)))</f>
        <v>15</v>
      </c>
      <c r="Z25" s="34">
        <f>IF(Table_BDD[[#This Row],[Position]]="","",IF(Table_BDD[[#This Row],[Ecart du SL]]&lt;0,IF(AND(Table_BDD[[#This Row],[Profit]]&gt;0,Table_BDD[[#This Row],[Type]]="sell"),ROUND((Table_BDD[[#This Row],[Lvl Entrée]]-Table_BDD[[#This Row],[Lvl Sortie]])/(10),1),IF(AND(Table_BDD[[#This Row],[Profit]]&gt;0,Table_BDD[[#This Row],[Type]]="buy"),ROUND((Table_BDD[[#This Row],[Lvl Sortie]]-Table_BDD[[#This Row],[Lvl Entrée]])/(10),1),)),IF(AND(Table_BDD[[#This Row],[Profit]]&gt;0,Table_BDD[[#This Row],[Type]]="sell"),ROUND((Table_BDD[[#This Row],[Lvl Entrée]]-Table_BDD[[#This Row],[Lvl Sortie]])/(Table_BDD[[#This Row],[S / L]]-Table_BDD[[#This Row],[Lvl Entrée]]),1),IF(AND(Table_BDD[[#This Row],[Profit]]&gt;0,Table_BDD[[#This Row],[Type]]="buy"),ROUND((Table_BDD[[#This Row],[Lvl Sortie]]-Table_BDD[[#This Row],[Lvl Entrée]])/(Table_BDD[[#This Row],[Lvl Entrée]]-Table_BDD[[#This Row],[S / L]]),1),ROUND(Table_BDD[[#This Row],[Points]]/10,1)))))</f>
        <v>-1</v>
      </c>
      <c r="AA25" s="32">
        <f>IF(Table_BDD[[#This Row],[Position]]="",AA24,Table_BDD[[#This Row],[Equité après trade]]-Table_BDD[[#This Row],[Profit]]-Table_BDD[[#This Row],[Echange]])</f>
        <v>975.59999999999991</v>
      </c>
      <c r="AB25" s="149">
        <f>$B$1+SUM($L$4:M25)</f>
        <v>970.93</v>
      </c>
      <c r="AC25" s="150">
        <f>IF(Table_BDD[[#This Row],[Position]]="","",_xlfn.MINIFS(Table_BDD[Horodatage ouverture],Table_BDD[Date],Table_BDD[Date]))</f>
        <v>43865.645729166667</v>
      </c>
      <c r="AD25" s="149">
        <f>VLOOKUP(_xlfn.MINIFS(Table_BDD[Horodatage ouverture],Table_BDD[Date],Table_BDD[Date]),Table_BDD[[Horodatage ouverture]:[Heure derniere valeur]],AA$2)</f>
        <v>1010.0300000000001</v>
      </c>
      <c r="AE25" s="149">
        <f>IF(VLOOKUP(_xlfn.MINIFS(Table_BDD[Horodatage ouverture],Table_BDD[Date],Table_BDD[Date]),Table_BDD[[Horodatage ouverture]:[Heure derniere valeur]],AA$2)=Table_BDD[[#This Row],[Equité avant trade]],VLOOKUP(_xlfn.MINIFS(Table_BDD[Horodatage ouverture],Table_BDD[Date],Table_BDD[Date]),Table_BDD[[Horodatage ouverture]:[Heure derniere valeur]],AA$2),0)</f>
        <v>0</v>
      </c>
      <c r="AF25" s="150">
        <f>IF(Table_BDD[[#This Row],[Position]]="","",_xlfn.MAXIFS(Table_BDD[Horodatage ouverture],Table_BDD[Date],Table_BDD[Date]))</f>
        <v>43865.841574074075</v>
      </c>
      <c r="AG25" s="32">
        <f>VLOOKUP(_xlfn.MAXIFS(Table_BDD[Horodatage cloture],Table_BDD[Date],Table_BDD[Date]),Table_BDD[[Horodatage ouverture]:[Heure derniere valeur]],AB$2)</f>
        <v>1011.88</v>
      </c>
      <c r="AH25" s="32">
        <f>IF(VLOOKUP(_xlfn.MAXIFS(Table_BDD[Horodatage cloture],Table_BDD[Date],Table_BDD[Date]),Table_BDD[[Horodatage ouverture]:[Heure derniere valeur]],AB$2)=Table_BDD[[#This Row],[Equité après trade]],VLOOKUP(_xlfn.MAXIFS(Table_BDD[Horodatage cloture],Table_BDD[Date],Table_BDD[Date]),Table_BDD[[Horodatage ouverture]:[Heure derniere valeur]],AB$2),0)</f>
        <v>0</v>
      </c>
      <c r="AI25" s="32" t="e">
        <f>IF(Table_BDD[[#This Row],[Valeur fin de journée unique]]=0,#N/A,Table_BDD[[#This Row],[Valeur fin de journée unique]])</f>
        <v>#N/A</v>
      </c>
      <c r="AJ25" s="35">
        <f>IF(Table_BDD[[#This Row],[Position]]="","",(Table_BDD[[#This Row],[Equité après trade]]-Table_BDD[[#This Row],[Equité avant trade]])/Table_BDD[[#This Row],[Equité avant trade]])</f>
        <v>-4.7867978679786384E-3</v>
      </c>
      <c r="AK25" s="35" t="str">
        <f>IFERROR(((INDEX(Table_BDD[[Trade n°]:[Valeur fin de journée unique]],Table_BDD[[#This Row],[Nb de trade du jour]]+Table_BDD[[#This Row],[Trade n°]]-1,21))-Table_BDD[[#This Row],[Valeur début de journée unique]])/Table_BDD[[#This Row],[Valeur début de journée unique]],"")</f>
        <v/>
      </c>
      <c r="AL25" s="32">
        <f>IF(Table_BDD[[#This Row],[Position]]="","",MAX(Table_BDD[[#This Row],[Cumul équité]],AL24))</f>
        <v>1019.44</v>
      </c>
      <c r="AM25" s="32">
        <f>IF(Table_BDD[[#This Row],[Position]]="","",MIN(Table_BDD[[#This Row],[Cumul équité]],AL24))</f>
        <v>970.93</v>
      </c>
      <c r="AN25" s="97">
        <f>IF(Table_BDD[[#This Row],[Sommet Drawdown]]&gt;AL24,"",Table_BDD[[#This Row],[Creux Drawdown]]/Table_BDD[[#This Row],[Sommet Drawdown]]-1)</f>
        <v>-4.7584948599231014E-2</v>
      </c>
      <c r="AO25" s="36">
        <f>IF(Table_BDD[[#This Row],[Position]]="","",IF(Table_BDD[[#This Row],[Type]]="buy",ROUND(Table_BDD[[#This Row],[Lvl Sortie]]-Table_BDD[[#This Row],[Lvl Entrée]],1),ROUND(Table_BDD[[#This Row],[Lvl Entrée]]-Table_BDD[[#This Row],[Lvl Sortie]],1)))</f>
        <v>-10.3</v>
      </c>
      <c r="AP25" s="36" t="str">
        <f>IF(Table_BDD[[#This Row],[Points]]&gt;0,Table_BDD[[#This Row],[Points]],"")</f>
        <v/>
      </c>
      <c r="AQ25" s="36">
        <f>IF(Table_BDD[[#This Row],[Points]]&lt;0,Table_BDD[[#This Row],[Points]],"")</f>
        <v>-10.3</v>
      </c>
      <c r="AR25" s="36">
        <f>SUM($AO$4:AO25)</f>
        <v>-64.199999999999989</v>
      </c>
      <c r="AS25" s="68">
        <f>IF(Table_BDD[[#This Row],[Position]]="","",IF(Table_BDD[[#This Row],[Conformité]]="Conforme",1,0))</f>
        <v>0</v>
      </c>
      <c r="AT25" s="68">
        <f>IF(Table_BDD[[#This Row],[Position]]="","",IF(Table_BDD[[#This Row],[Conformité]]="Non conforme",1,0))</f>
        <v>1</v>
      </c>
      <c r="AU25" s="37" t="s">
        <v>17</v>
      </c>
      <c r="AV25" s="37"/>
      <c r="AW25" s="37"/>
      <c r="AX25" s="37">
        <v>0</v>
      </c>
      <c r="AY25" s="37">
        <v>0</v>
      </c>
      <c r="AZ25" s="37">
        <v>0</v>
      </c>
      <c r="BA25" s="37" t="str">
        <f>IF(Table_BDD[[#This Row],[Position]]="","Sans objet",IF(AND(Table_BDD[[#This Row],[Type]]="sell",Table_BDD[[#This Row],[S / L]]&lt;Table_BDD[[#This Row],[Lvl Entrée]],Table_BDD[[#This Row],[Lvl Sortie]]&lt;=Table_BDD[[#This Row],[S / L]]+2,Table_BDD[[#This Row],[Lvl Sortie]]&lt;Table_BDD[[#This Row],[Lvl Entrée]]-19),"Oui",IF(AND(Table_BDD[[#This Row],[Type]]="buy",Table_BDD[[#This Row],[S / L]]&gt;Table_BDD[[#This Row],[Lvl Entrée]],Table_BDD[[#This Row],[Lvl Sortie]]&gt;=Table_BDD[[#This Row],[S / L]]-2,Table_BDD[[#This Row],[S / L]]&gt;Table_BDD[[#This Row],[Lvl Entrée]]+19),"Oui","Non")))</f>
        <v>Non</v>
      </c>
      <c r="BB25" s="37" t="str">
        <f>IF(Table_BDD[[#This Row],[Position]]="","Sans objet",IF(AND(Table_BDD[[#This Row],[Type]]="sell",Table_BDD[[#This Row],[S / L]]&lt;Table_BDD[[#This Row],[Lvl Entrée]],Table_BDD[[#This Row],[Points]]&gt;=-1),"Oui",IF(AND(Table_BDD[[#This Row],[Type]]="sell",Table_BDD[[#This Row],[S / L]]&gt;Table_BDD[[#This Row],[Lvl Entrée]]),"Non",IF(AND(Table_BDD[[#This Row],[Type]]="buy",Table_BDD[[#This Row],[S / L]]&lt;Table_BDD[[#This Row],[Lvl Entrée]]),"Non",IF(AND(Table_BDD[[#This Row],[Type]]="buy",Table_BDD[[#This Row],[S / L]]&gt;Table_BDD[[#This Row],[Lvl Entrée]],Table_BDD[[#This Row],[Points]]&gt;=-1),"Oui")))))</f>
        <v>Non</v>
      </c>
      <c r="BC25" s="37" t="str">
        <f>IF(Table_BDD[[#This Row],[Position]]="","Sans objet",IF(Table_BDD[[#This Row],[T / P]]="","Non",IF(AND(Table_BDD[[#This Row],[Type]]="sell",Table_BDD[[#This Row],[Lvl Sortie]]&lt;=Table_BDD[[#This Row],[T / P]]),"Oui",IF(AND(Table_BDD[[#This Row],[Type]]="buy",Table_BDD[[#This Row],[Lvl Sortie]]&gt;=Table_BDD[[#This Row],[T / P]]),"Oui","Non"))))</f>
        <v>Non</v>
      </c>
      <c r="BD25" s="91">
        <f t="array" ref="BD25">IFERROR(INDEX(downloadFile[#All],MATCH(Table_BDD[[#This Row],[Date]],downloadFile[[#All],[Column1]],0),2),BD24)</f>
        <v>1.1048</v>
      </c>
      <c r="BE25" s="89">
        <f>IF(Table_BDD[[#This Row],[Position]]="","",IF(Table_BDD[[#This Row],[Symbole]]="UsaInd",(Table_BDD[[#This Row],[Volume]]*Table_BDD[[#This Row],[Lvl Entrée]])/(Table_BDD[[#This Row],[Equité avant trade]]*Table_BDD[[#This Row],[EUR/USD]]),IF(Table_BDD[[#This Row],[Symbole]]="Ger30",(Table_BDD[[#This Row],[Volume]]*Table_BDD[[#This Row],[Lvl Entrée]])/Table_BDD[[#This Row],[Equité avant trade]],)))</f>
        <v>13.403405327500053</v>
      </c>
      <c r="BF25" s="38">
        <f>IF(Table_BDD[[#This Row],[Position]]="","",IF(Table_BDD[[#This Row],[Conformité]]="Non conforme",0,(MROUND(3*((Table_BDD[[#This Row],[Conviction]]+Table_BDD[[#This Row],[Timing]]+Table_BDD[[#This Row],[Sortie]])+1)-2,1))))</f>
        <v>0</v>
      </c>
      <c r="BG25" s="38" t="str">
        <f>IF(Table_BDD[[#This Row],[Position]]="","",IF(Table_BDD[[#This Row],[Points]]&lt;-5,"--",IF(AND(Table_BDD[[#This Row],[Points]]&gt;=-5,Table_BDD[[#This Row],[Points]]&lt;-1.5),"-",IF(AND(Table_BDD[[#This Row],[Points]]&gt;=-1.5,Table_BDD[[#This Row],[Points]]&lt;1.5),"0",IF(AND(Table_BDD[[#This Row],[Points]]&gt;=1.5,Table_BDD[[#This Row],[Points]]&lt;=70),"+",IF(Table_BDD[[#This Row],[Points]]&gt;70,"++"))))))</f>
        <v>--</v>
      </c>
      <c r="BH25" s="37" t="str">
        <f>IF(Table_BDD[[#This Row],[Position]]="","",IF(Table_BDD[[#This Row],[Points]]&gt;0,"Gagnant",IF(Table_BDD[[#This Row],[Points]]=0,"Flat","Perdant")))</f>
        <v>Perdant</v>
      </c>
      <c r="BI25" s="40">
        <f>IF(Table_BDD[[#This Row],[Position]]="","",IF(Table_BDD[[#This Row],[Résultat]]="Gagnant",1,0))</f>
        <v>0</v>
      </c>
      <c r="BJ25" s="40">
        <f>IF(Table_BDD[[#This Row],[Position]]="","",IF(Table_BDD[[#This Row],[Résultat]]="Perdant",1,0))</f>
        <v>1</v>
      </c>
      <c r="BK25" s="40"/>
      <c r="BL25" s="145">
        <f>IF(Table_BDD[[#This Row],[T / P]]="","",Table_BDD[[#This Row],[T / P]])</f>
        <v>28743.53</v>
      </c>
      <c r="BM25" s="147"/>
      <c r="BN25" s="147"/>
      <c r="BO25" s="147"/>
      <c r="BP25" s="147"/>
      <c r="BQ25" s="127"/>
    </row>
    <row r="26" spans="1:69" x14ac:dyDescent="0.2">
      <c r="A26" s="93">
        <v>43865.767222222225</v>
      </c>
      <c r="B26" s="94">
        <v>259457039</v>
      </c>
      <c r="C26" s="37" t="s">
        <v>8</v>
      </c>
      <c r="D26" s="37" t="s">
        <v>10</v>
      </c>
      <c r="E26" s="37">
        <v>0.5</v>
      </c>
      <c r="F26" s="95">
        <v>28894.639999999999</v>
      </c>
      <c r="G26" s="95">
        <v>28904.639999999999</v>
      </c>
      <c r="H26" s="95">
        <v>28784.240000000002</v>
      </c>
      <c r="I26" s="28">
        <v>43865.841412037036</v>
      </c>
      <c r="J26" s="95">
        <v>28904.81</v>
      </c>
      <c r="K26" s="95">
        <v>0</v>
      </c>
      <c r="L26" s="95">
        <v>0</v>
      </c>
      <c r="M26" s="32">
        <v>-4.6100000000000003</v>
      </c>
      <c r="N26" s="148">
        <f>IF(Table_BDD[[#This Row],[Position]]="","",ROW()-3)</f>
        <v>23</v>
      </c>
      <c r="O26" s="32">
        <f>SUM($L$4:M26)</f>
        <v>-33.68</v>
      </c>
      <c r="P26" s="32">
        <f>Table_BDD[[#This Row],[Equité avant trade]]+Table_BDD[[#This Row],[Profit]]+Table_BDD[[#This Row],[Echange]]</f>
        <v>966.32</v>
      </c>
      <c r="Q26" s="52">
        <f>INT(Table_BDD[[#This Row],[Horodatage cloture]])</f>
        <v>43865</v>
      </c>
      <c r="R26" s="34">
        <f>WEEKNUM(Table_BDD[[#This Row],[Horodatage cloture]],2)</f>
        <v>6</v>
      </c>
      <c r="S26" s="61">
        <f>WEEKDAY(Table_BDD[[#This Row],[Horodatage cloture]])</f>
        <v>3</v>
      </c>
      <c r="T26" s="63">
        <f>HOUR(Table_BDD[[#This Row],[Horodatage cloture]])</f>
        <v>20</v>
      </c>
      <c r="U26" s="68">
        <f>IF(Table_BDD[[#This Row],[Position]]="","",IF(Table_BDD[[#This Row],[Valeur début de journée unique]]&lt;&gt;0,1,0))</f>
        <v>0</v>
      </c>
      <c r="V26" s="68" t="str">
        <f>IF(Table_BDD[[#This Row],[Nb de séance de trading]]=1,COUNTIF(Table_BDD[Date],Table_BDD[[#This Row],[Date]]),"")</f>
        <v/>
      </c>
      <c r="W26" s="33">
        <f>IF(Table_BDD[[#This Row],[Position]]="","",IF(Table_BDD[[#This Row],[Type]]="buy",ROUND(Table_BDD[[#This Row],[Lvl Entrée]]-Table_BDD[[#This Row],[S / L]],1),ROUND(Table_BDD[[#This Row],[S / L]]-Table_BDD[[#This Row],[Lvl Entrée]],1)))</f>
        <v>10</v>
      </c>
      <c r="X26" s="33">
        <f>IF(Table_BDD[[#This Row],[Position]]="","",IF(Table_BDD[[#This Row],[T / P]]=0,200,IF(Table_BDD[[#This Row],[Type]]="buy",ROUND(Table_BDD[[#This Row],[T / P]]-Table_BDD[[#This Row],[Lvl Entrée]],1),ROUND(Table_BDD[[#This Row],[Lvl Entrée]]-Table_BDD[[#This Row],[T / P]],1))))</f>
        <v>110.4</v>
      </c>
      <c r="Y26" s="34">
        <f>IF(Table_BDD[[#This Row],[Position]]="","",IF(Table_BDD[[#This Row],[Ecart du SL]]&gt;0,ROUND(ABS(Table_BDD[[#This Row],[Ecart du TP]])/ABS(Table_BDD[[#This Row],[Ecart du SL]]),1),ROUND(ABS(Table_BDD[[#This Row],[Ecart du TP]])/10,1)))</f>
        <v>11</v>
      </c>
      <c r="Z26" s="34">
        <f>IF(Table_BDD[[#This Row],[Position]]="","",IF(Table_BDD[[#This Row],[Ecart du SL]]&lt;0,IF(AND(Table_BDD[[#This Row],[Profit]]&gt;0,Table_BDD[[#This Row],[Type]]="sell"),ROUND((Table_BDD[[#This Row],[Lvl Entrée]]-Table_BDD[[#This Row],[Lvl Sortie]])/(10),1),IF(AND(Table_BDD[[#This Row],[Profit]]&gt;0,Table_BDD[[#This Row],[Type]]="buy"),ROUND((Table_BDD[[#This Row],[Lvl Sortie]]-Table_BDD[[#This Row],[Lvl Entrée]])/(10),1),)),IF(AND(Table_BDD[[#This Row],[Profit]]&gt;0,Table_BDD[[#This Row],[Type]]="sell"),ROUND((Table_BDD[[#This Row],[Lvl Entrée]]-Table_BDD[[#This Row],[Lvl Sortie]])/(Table_BDD[[#This Row],[S / L]]-Table_BDD[[#This Row],[Lvl Entrée]]),1),IF(AND(Table_BDD[[#This Row],[Profit]]&gt;0,Table_BDD[[#This Row],[Type]]="buy"),ROUND((Table_BDD[[#This Row],[Lvl Sortie]]-Table_BDD[[#This Row],[Lvl Entrée]])/(Table_BDD[[#This Row],[Lvl Entrée]]-Table_BDD[[#This Row],[S / L]]),1),ROUND(Table_BDD[[#This Row],[Points]]/10,1)))))</f>
        <v>-1</v>
      </c>
      <c r="AA26" s="32">
        <f>IF(Table_BDD[[#This Row],[Position]]="",AA25,Table_BDD[[#This Row],[Equité après trade]]-Table_BDD[[#This Row],[Profit]]-Table_BDD[[#This Row],[Echange]])</f>
        <v>970.93000000000006</v>
      </c>
      <c r="AB26" s="149">
        <f>$B$1+SUM($L$4:M26)</f>
        <v>966.32</v>
      </c>
      <c r="AC26" s="150">
        <f>IF(Table_BDD[[#This Row],[Position]]="","",_xlfn.MINIFS(Table_BDD[Horodatage ouverture],Table_BDD[Date],Table_BDD[Date]))</f>
        <v>43865.645729166667</v>
      </c>
      <c r="AD26" s="149">
        <f>VLOOKUP(_xlfn.MINIFS(Table_BDD[Horodatage ouverture],Table_BDD[Date],Table_BDD[Date]),Table_BDD[[Horodatage ouverture]:[Heure derniere valeur]],AA$2)</f>
        <v>1010.0300000000001</v>
      </c>
      <c r="AE26" s="149">
        <f>IF(VLOOKUP(_xlfn.MINIFS(Table_BDD[Horodatage ouverture],Table_BDD[Date],Table_BDD[Date]),Table_BDD[[Horodatage ouverture]:[Heure derniere valeur]],AA$2)=Table_BDD[[#This Row],[Equité avant trade]],VLOOKUP(_xlfn.MINIFS(Table_BDD[Horodatage ouverture],Table_BDD[Date],Table_BDD[Date]),Table_BDD[[Horodatage ouverture]:[Heure derniere valeur]],AA$2),0)</f>
        <v>0</v>
      </c>
      <c r="AF26" s="150">
        <f>IF(Table_BDD[[#This Row],[Position]]="","",_xlfn.MAXIFS(Table_BDD[Horodatage ouverture],Table_BDD[Date],Table_BDD[Date]))</f>
        <v>43865.841574074075</v>
      </c>
      <c r="AG26" s="32">
        <f>VLOOKUP(_xlfn.MAXIFS(Table_BDD[Horodatage cloture],Table_BDD[Date],Table_BDD[Date]),Table_BDD[[Horodatage ouverture]:[Heure derniere valeur]],AB$2)</f>
        <v>1011.88</v>
      </c>
      <c r="AH26" s="32">
        <f>IF(VLOOKUP(_xlfn.MAXIFS(Table_BDD[Horodatage cloture],Table_BDD[Date],Table_BDD[Date]),Table_BDD[[Horodatage ouverture]:[Heure derniere valeur]],AB$2)=Table_BDD[[#This Row],[Equité après trade]],VLOOKUP(_xlfn.MAXIFS(Table_BDD[Horodatage cloture],Table_BDD[Date],Table_BDD[Date]),Table_BDD[[Horodatage ouverture]:[Heure derniere valeur]],AB$2),0)</f>
        <v>0</v>
      </c>
      <c r="AI26" s="32" t="e">
        <f>IF(Table_BDD[[#This Row],[Valeur fin de journée unique]]=0,#N/A,Table_BDD[[#This Row],[Valeur fin de journée unique]])</f>
        <v>#N/A</v>
      </c>
      <c r="AJ26" s="35">
        <f>IF(Table_BDD[[#This Row],[Position]]="","",(Table_BDD[[#This Row],[Equité après trade]]-Table_BDD[[#This Row],[Equité avant trade]])/Table_BDD[[#This Row],[Equité avant trade]])</f>
        <v>-4.7480250893473406E-3</v>
      </c>
      <c r="AK26" s="35" t="str">
        <f>IFERROR(((INDEX(Table_BDD[[Trade n°]:[Valeur fin de journée unique]],Table_BDD[[#This Row],[Nb de trade du jour]]+Table_BDD[[#This Row],[Trade n°]]-1,21))-Table_BDD[[#This Row],[Valeur début de journée unique]])/Table_BDD[[#This Row],[Valeur début de journée unique]],"")</f>
        <v/>
      </c>
      <c r="AL26" s="32">
        <f>IF(Table_BDD[[#This Row],[Position]]="","",MAX(Table_BDD[[#This Row],[Cumul équité]],AL25))</f>
        <v>1019.44</v>
      </c>
      <c r="AM26" s="32">
        <f>IF(Table_BDD[[#This Row],[Position]]="","",MIN(Table_BDD[[#This Row],[Cumul équité]],AL25))</f>
        <v>966.32</v>
      </c>
      <c r="AN26" s="97">
        <f>IF(Table_BDD[[#This Row],[Sommet Drawdown]]&gt;AL25,"",Table_BDD[[#This Row],[Creux Drawdown]]/Table_BDD[[#This Row],[Sommet Drawdown]]-1)</f>
        <v>-5.210703915875381E-2</v>
      </c>
      <c r="AO26" s="36">
        <f>IF(Table_BDD[[#This Row],[Position]]="","",IF(Table_BDD[[#This Row],[Type]]="buy",ROUND(Table_BDD[[#This Row],[Lvl Sortie]]-Table_BDD[[#This Row],[Lvl Entrée]],1),ROUND(Table_BDD[[#This Row],[Lvl Entrée]]-Table_BDD[[#This Row],[Lvl Sortie]],1)))</f>
        <v>-10.199999999999999</v>
      </c>
      <c r="AP26" s="36" t="str">
        <f>IF(Table_BDD[[#This Row],[Points]]&gt;0,Table_BDD[[#This Row],[Points]],"")</f>
        <v/>
      </c>
      <c r="AQ26" s="36">
        <f>IF(Table_BDD[[#This Row],[Points]]&lt;0,Table_BDD[[#This Row],[Points]],"")</f>
        <v>-10.199999999999999</v>
      </c>
      <c r="AR26" s="36">
        <f>SUM($AO$4:AO26)</f>
        <v>-74.399999999999991</v>
      </c>
      <c r="AS26" s="68">
        <f>IF(Table_BDD[[#This Row],[Position]]="","",IF(Table_BDD[[#This Row],[Conformité]]="Conforme",1,0))</f>
        <v>0</v>
      </c>
      <c r="AT26" s="68">
        <f>IF(Table_BDD[[#This Row],[Position]]="","",IF(Table_BDD[[#This Row],[Conformité]]="Non conforme",1,0))</f>
        <v>1</v>
      </c>
      <c r="AU26" s="37" t="s">
        <v>17</v>
      </c>
      <c r="AV26" s="37"/>
      <c r="AW26" s="37"/>
      <c r="AX26" s="37">
        <v>0</v>
      </c>
      <c r="AY26" s="37">
        <v>0</v>
      </c>
      <c r="AZ26" s="37">
        <v>0</v>
      </c>
      <c r="BA26" s="37" t="str">
        <f>IF(Table_BDD[[#This Row],[Position]]="","Sans objet",IF(AND(Table_BDD[[#This Row],[Type]]="sell",Table_BDD[[#This Row],[S / L]]&lt;Table_BDD[[#This Row],[Lvl Entrée]],Table_BDD[[#This Row],[Lvl Sortie]]&lt;=Table_BDD[[#This Row],[S / L]]+2,Table_BDD[[#This Row],[Lvl Sortie]]&lt;Table_BDD[[#This Row],[Lvl Entrée]]-19),"Oui",IF(AND(Table_BDD[[#This Row],[Type]]="buy",Table_BDD[[#This Row],[S / L]]&gt;Table_BDD[[#This Row],[Lvl Entrée]],Table_BDD[[#This Row],[Lvl Sortie]]&gt;=Table_BDD[[#This Row],[S / L]]-2,Table_BDD[[#This Row],[S / L]]&gt;Table_BDD[[#This Row],[Lvl Entrée]]+19),"Oui","Non")))</f>
        <v>Non</v>
      </c>
      <c r="BB26" s="37" t="str">
        <f>IF(Table_BDD[[#This Row],[Position]]="","Sans objet",IF(AND(Table_BDD[[#This Row],[Type]]="sell",Table_BDD[[#This Row],[S / L]]&lt;Table_BDD[[#This Row],[Lvl Entrée]],Table_BDD[[#This Row],[Points]]&gt;=-1),"Oui",IF(AND(Table_BDD[[#This Row],[Type]]="sell",Table_BDD[[#This Row],[S / L]]&gt;Table_BDD[[#This Row],[Lvl Entrée]]),"Non",IF(AND(Table_BDD[[#This Row],[Type]]="buy",Table_BDD[[#This Row],[S / L]]&lt;Table_BDD[[#This Row],[Lvl Entrée]]),"Non",IF(AND(Table_BDD[[#This Row],[Type]]="buy",Table_BDD[[#This Row],[S / L]]&gt;Table_BDD[[#This Row],[Lvl Entrée]],Table_BDD[[#This Row],[Points]]&gt;=-1),"Oui")))))</f>
        <v>Non</v>
      </c>
      <c r="BC26" s="37" t="str">
        <f>IF(Table_BDD[[#This Row],[Position]]="","Sans objet",IF(Table_BDD[[#This Row],[T / P]]="","Non",IF(AND(Table_BDD[[#This Row],[Type]]="sell",Table_BDD[[#This Row],[Lvl Sortie]]&lt;=Table_BDD[[#This Row],[T / P]]),"Oui",IF(AND(Table_BDD[[#This Row],[Type]]="buy",Table_BDD[[#This Row],[Lvl Sortie]]&gt;=Table_BDD[[#This Row],[T / P]]),"Oui","Non"))))</f>
        <v>Non</v>
      </c>
      <c r="BD26" s="91">
        <f t="array" ref="BD26">IFERROR(INDEX(downloadFile[#All],MATCH(Table_BDD[[#This Row],[Date]],downloadFile[[#All],[Column1]],0),2),BD25)</f>
        <v>1.1048</v>
      </c>
      <c r="BE26" s="89">
        <f>IF(Table_BDD[[#This Row],[Position]]="","",IF(Table_BDD[[#This Row],[Symbole]]="UsaInd",(Table_BDD[[#This Row],[Volume]]*Table_BDD[[#This Row],[Lvl Entrée]])/(Table_BDD[[#This Row],[Equité avant trade]]*Table_BDD[[#This Row],[EUR/USD]]),IF(Table_BDD[[#This Row],[Symbole]]="Ger30",(Table_BDD[[#This Row],[Volume]]*Table_BDD[[#This Row],[Lvl Entrée]])/Table_BDD[[#This Row],[Equité avant trade]],)))</f>
        <v>13.46839070878042</v>
      </c>
      <c r="BF26" s="38">
        <f>IF(Table_BDD[[#This Row],[Position]]="","",IF(Table_BDD[[#This Row],[Conformité]]="Non conforme",0,(MROUND(3*((Table_BDD[[#This Row],[Conviction]]+Table_BDD[[#This Row],[Timing]]+Table_BDD[[#This Row],[Sortie]])+1)-2,1))))</f>
        <v>0</v>
      </c>
      <c r="BG26" s="38" t="str">
        <f>IF(Table_BDD[[#This Row],[Position]]="","",IF(Table_BDD[[#This Row],[Points]]&lt;-5,"--",IF(AND(Table_BDD[[#This Row],[Points]]&gt;=-5,Table_BDD[[#This Row],[Points]]&lt;-1.5),"-",IF(AND(Table_BDD[[#This Row],[Points]]&gt;=-1.5,Table_BDD[[#This Row],[Points]]&lt;1.5),"0",IF(AND(Table_BDD[[#This Row],[Points]]&gt;=1.5,Table_BDD[[#This Row],[Points]]&lt;=70),"+",IF(Table_BDD[[#This Row],[Points]]&gt;70,"++"))))))</f>
        <v>--</v>
      </c>
      <c r="BH26" s="37" t="str">
        <f>IF(Table_BDD[[#This Row],[Position]]="","",IF(Table_BDD[[#This Row],[Points]]&gt;0,"Gagnant",IF(Table_BDD[[#This Row],[Points]]=0,"Flat","Perdant")))</f>
        <v>Perdant</v>
      </c>
      <c r="BI26" s="40">
        <f>IF(Table_BDD[[#This Row],[Position]]="","",IF(Table_BDD[[#This Row],[Résultat]]="Gagnant",1,0))</f>
        <v>0</v>
      </c>
      <c r="BJ26" s="40">
        <f>IF(Table_BDD[[#This Row],[Position]]="","",IF(Table_BDD[[#This Row],[Résultat]]="Perdant",1,0))</f>
        <v>1</v>
      </c>
      <c r="BK26" s="40"/>
      <c r="BL26" s="145">
        <f>IF(Table_BDD[[#This Row],[T / P]]="","",Table_BDD[[#This Row],[T / P]])</f>
        <v>28784.240000000002</v>
      </c>
      <c r="BM26" s="147"/>
      <c r="BN26" s="147"/>
      <c r="BO26" s="147"/>
      <c r="BP26" s="147"/>
      <c r="BQ26" s="127"/>
    </row>
    <row r="27" spans="1:69" x14ac:dyDescent="0.2">
      <c r="A27" s="93">
        <v>43865.841574074075</v>
      </c>
      <c r="B27" s="94">
        <v>259463422</v>
      </c>
      <c r="C27" s="37" t="s">
        <v>8</v>
      </c>
      <c r="D27" s="37" t="s">
        <v>10</v>
      </c>
      <c r="E27" s="37">
        <v>0.5</v>
      </c>
      <c r="F27" s="95">
        <v>28903.69</v>
      </c>
      <c r="G27" s="95">
        <v>28913.69</v>
      </c>
      <c r="H27" s="95">
        <v>28803.69</v>
      </c>
      <c r="I27" s="28">
        <v>43865.914444444446</v>
      </c>
      <c r="J27" s="95">
        <v>28803.05</v>
      </c>
      <c r="K27" s="95">
        <v>0</v>
      </c>
      <c r="L27" s="95">
        <v>0</v>
      </c>
      <c r="M27" s="32">
        <v>45.56</v>
      </c>
      <c r="N27" s="148">
        <f>IF(Table_BDD[[#This Row],[Position]]="","",ROW()-3)</f>
        <v>24</v>
      </c>
      <c r="O27" s="32">
        <f>SUM($L$4:M27)</f>
        <v>11.880000000000003</v>
      </c>
      <c r="P27" s="32">
        <f>Table_BDD[[#This Row],[Equité avant trade]]+Table_BDD[[#This Row],[Profit]]+Table_BDD[[#This Row],[Echange]]</f>
        <v>1011.8799999999999</v>
      </c>
      <c r="Q27" s="52">
        <f>INT(Table_BDD[[#This Row],[Horodatage cloture]])</f>
        <v>43865</v>
      </c>
      <c r="R27" s="34">
        <f>WEEKNUM(Table_BDD[[#This Row],[Horodatage cloture]],2)</f>
        <v>6</v>
      </c>
      <c r="S27" s="61">
        <f>WEEKDAY(Table_BDD[[#This Row],[Horodatage cloture]])</f>
        <v>3</v>
      </c>
      <c r="T27" s="63">
        <f>HOUR(Table_BDD[[#This Row],[Horodatage cloture]])</f>
        <v>21</v>
      </c>
      <c r="U27" s="68">
        <f>IF(Table_BDD[[#This Row],[Position]]="","",IF(Table_BDD[[#This Row],[Valeur début de journée unique]]&lt;&gt;0,1,0))</f>
        <v>0</v>
      </c>
      <c r="V27" s="68" t="str">
        <f>IF(Table_BDD[[#This Row],[Nb de séance de trading]]=1,COUNTIF(Table_BDD[Date],Table_BDD[[#This Row],[Date]]),"")</f>
        <v/>
      </c>
      <c r="W27" s="33">
        <f>IF(Table_BDD[[#This Row],[Position]]="","",IF(Table_BDD[[#This Row],[Type]]="buy",ROUND(Table_BDD[[#This Row],[Lvl Entrée]]-Table_BDD[[#This Row],[S / L]],1),ROUND(Table_BDD[[#This Row],[S / L]]-Table_BDD[[#This Row],[Lvl Entrée]],1)))</f>
        <v>10</v>
      </c>
      <c r="X27" s="33">
        <f>IF(Table_BDD[[#This Row],[Position]]="","",IF(Table_BDD[[#This Row],[T / P]]=0,200,IF(Table_BDD[[#This Row],[Type]]="buy",ROUND(Table_BDD[[#This Row],[T / P]]-Table_BDD[[#This Row],[Lvl Entrée]],1),ROUND(Table_BDD[[#This Row],[Lvl Entrée]]-Table_BDD[[#This Row],[T / P]],1))))</f>
        <v>100</v>
      </c>
      <c r="Y27" s="34">
        <f>IF(Table_BDD[[#This Row],[Position]]="","",IF(Table_BDD[[#This Row],[Ecart du SL]]&gt;0,ROUND(ABS(Table_BDD[[#This Row],[Ecart du TP]])/ABS(Table_BDD[[#This Row],[Ecart du SL]]),1),ROUND(ABS(Table_BDD[[#This Row],[Ecart du TP]])/10,1)))</f>
        <v>10</v>
      </c>
      <c r="Z27" s="34">
        <f>IF(Table_BDD[[#This Row],[Position]]="","",IF(Table_BDD[[#This Row],[Ecart du SL]]&lt;0,IF(AND(Table_BDD[[#This Row],[Profit]]&gt;0,Table_BDD[[#This Row],[Type]]="sell"),ROUND((Table_BDD[[#This Row],[Lvl Entrée]]-Table_BDD[[#This Row],[Lvl Sortie]])/(10),1),IF(AND(Table_BDD[[#This Row],[Profit]]&gt;0,Table_BDD[[#This Row],[Type]]="buy"),ROUND((Table_BDD[[#This Row],[Lvl Sortie]]-Table_BDD[[#This Row],[Lvl Entrée]])/(10),1),)),IF(AND(Table_BDD[[#This Row],[Profit]]&gt;0,Table_BDD[[#This Row],[Type]]="sell"),ROUND((Table_BDD[[#This Row],[Lvl Entrée]]-Table_BDD[[#This Row],[Lvl Sortie]])/(Table_BDD[[#This Row],[S / L]]-Table_BDD[[#This Row],[Lvl Entrée]]),1),IF(AND(Table_BDD[[#This Row],[Profit]]&gt;0,Table_BDD[[#This Row],[Type]]="buy"),ROUND((Table_BDD[[#This Row],[Lvl Sortie]]-Table_BDD[[#This Row],[Lvl Entrée]])/(Table_BDD[[#This Row],[Lvl Entrée]]-Table_BDD[[#This Row],[S / L]]),1),ROUND(Table_BDD[[#This Row],[Points]]/10,1)))))</f>
        <v>10.1</v>
      </c>
      <c r="AA27" s="32">
        <f>IF(Table_BDD[[#This Row],[Position]]="",AA26,Table_BDD[[#This Row],[Equité après trade]]-Table_BDD[[#This Row],[Profit]]-Table_BDD[[#This Row],[Echange]])</f>
        <v>966.31999999999994</v>
      </c>
      <c r="AB27" s="149">
        <f>$B$1+SUM($L$4:M27)</f>
        <v>1011.88</v>
      </c>
      <c r="AC27" s="150">
        <f>IF(Table_BDD[[#This Row],[Position]]="","",_xlfn.MINIFS(Table_BDD[Horodatage ouverture],Table_BDD[Date],Table_BDD[Date]))</f>
        <v>43865.645729166667</v>
      </c>
      <c r="AD27" s="149">
        <f>VLOOKUP(_xlfn.MINIFS(Table_BDD[Horodatage ouverture],Table_BDD[Date],Table_BDD[Date]),Table_BDD[[Horodatage ouverture]:[Heure derniere valeur]],AA$2)</f>
        <v>1010.0300000000001</v>
      </c>
      <c r="AE27" s="149">
        <f>IF(VLOOKUP(_xlfn.MINIFS(Table_BDD[Horodatage ouverture],Table_BDD[Date],Table_BDD[Date]),Table_BDD[[Horodatage ouverture]:[Heure derniere valeur]],AA$2)=Table_BDD[[#This Row],[Equité avant trade]],VLOOKUP(_xlfn.MINIFS(Table_BDD[Horodatage ouverture],Table_BDD[Date],Table_BDD[Date]),Table_BDD[[Horodatage ouverture]:[Heure derniere valeur]],AA$2),0)</f>
        <v>0</v>
      </c>
      <c r="AF27" s="150">
        <f>IF(Table_BDD[[#This Row],[Position]]="","",_xlfn.MAXIFS(Table_BDD[Horodatage ouverture],Table_BDD[Date],Table_BDD[Date]))</f>
        <v>43865.841574074075</v>
      </c>
      <c r="AG27" s="32">
        <f>VLOOKUP(_xlfn.MAXIFS(Table_BDD[Horodatage cloture],Table_BDD[Date],Table_BDD[Date]),Table_BDD[[Horodatage ouverture]:[Heure derniere valeur]],AB$2)</f>
        <v>1011.88</v>
      </c>
      <c r="AH27" s="32">
        <f>IF(VLOOKUP(_xlfn.MAXIFS(Table_BDD[Horodatage cloture],Table_BDD[Date],Table_BDD[Date]),Table_BDD[[Horodatage ouverture]:[Heure derniere valeur]],AB$2)=Table_BDD[[#This Row],[Equité après trade]],VLOOKUP(_xlfn.MAXIFS(Table_BDD[Horodatage cloture],Table_BDD[Date],Table_BDD[Date]),Table_BDD[[Horodatage ouverture]:[Heure derniere valeur]],AB$2),0)</f>
        <v>1011.88</v>
      </c>
      <c r="AI27" s="32">
        <f>IF(Table_BDD[[#This Row],[Valeur fin de journée unique]]=0,#N/A,Table_BDD[[#This Row],[Valeur fin de journée unique]])</f>
        <v>1011.88</v>
      </c>
      <c r="AJ27" s="35">
        <f>IF(Table_BDD[[#This Row],[Position]]="","",(Table_BDD[[#This Row],[Equité après trade]]-Table_BDD[[#This Row],[Equité avant trade]])/Table_BDD[[#This Row],[Equité avant trade]])</f>
        <v>4.7147942710489346E-2</v>
      </c>
      <c r="AK27" s="35" t="str">
        <f>IFERROR(((INDEX(Table_BDD[[Trade n°]:[Valeur fin de journée unique]],Table_BDD[[#This Row],[Nb de trade du jour]]+Table_BDD[[#This Row],[Trade n°]]-1,21))-Table_BDD[[#This Row],[Valeur début de journée unique]])/Table_BDD[[#This Row],[Valeur début de journée unique]],"")</f>
        <v/>
      </c>
      <c r="AL27" s="32">
        <f>IF(Table_BDD[[#This Row],[Position]]="","",MAX(Table_BDD[[#This Row],[Cumul équité]],AL26))</f>
        <v>1019.44</v>
      </c>
      <c r="AM27" s="32">
        <f>IF(Table_BDD[[#This Row],[Position]]="","",MIN(Table_BDD[[#This Row],[Cumul équité]],AL26))</f>
        <v>1011.8799999999999</v>
      </c>
      <c r="AN27" s="97">
        <f>IF(Table_BDD[[#This Row],[Sommet Drawdown]]&gt;AL26,"",Table_BDD[[#This Row],[Creux Drawdown]]/Table_BDD[[#This Row],[Sommet Drawdown]]-1)</f>
        <v>-7.4158361453348087E-3</v>
      </c>
      <c r="AO27" s="36">
        <f>IF(Table_BDD[[#This Row],[Position]]="","",IF(Table_BDD[[#This Row],[Type]]="buy",ROUND(Table_BDD[[#This Row],[Lvl Sortie]]-Table_BDD[[#This Row],[Lvl Entrée]],1),ROUND(Table_BDD[[#This Row],[Lvl Entrée]]-Table_BDD[[#This Row],[Lvl Sortie]],1)))</f>
        <v>100.6</v>
      </c>
      <c r="AP27" s="36">
        <f>IF(Table_BDD[[#This Row],[Points]]&gt;0,Table_BDD[[#This Row],[Points]],"")</f>
        <v>100.6</v>
      </c>
      <c r="AQ27" s="36" t="str">
        <f>IF(Table_BDD[[#This Row],[Points]]&lt;0,Table_BDD[[#This Row],[Points]],"")</f>
        <v/>
      </c>
      <c r="AR27" s="36">
        <f>SUM($AO$4:AO27)</f>
        <v>26.200000000000003</v>
      </c>
      <c r="AS27" s="68">
        <f>IF(Table_BDD[[#This Row],[Position]]="","",IF(Table_BDD[[#This Row],[Conformité]]="Conforme",1,0))</f>
        <v>0</v>
      </c>
      <c r="AT27" s="68">
        <f>IF(Table_BDD[[#This Row],[Position]]="","",IF(Table_BDD[[#This Row],[Conformité]]="Non conforme",1,0))</f>
        <v>1</v>
      </c>
      <c r="AU27" s="37" t="s">
        <v>17</v>
      </c>
      <c r="AV27" s="37"/>
      <c r="AW27" s="37"/>
      <c r="AX27" s="37">
        <v>0</v>
      </c>
      <c r="AY27" s="37">
        <v>0</v>
      </c>
      <c r="AZ27" s="37">
        <v>0</v>
      </c>
      <c r="BA27" s="37" t="str">
        <f>IF(Table_BDD[[#This Row],[Position]]="","Sans objet",IF(AND(Table_BDD[[#This Row],[Type]]="sell",Table_BDD[[#This Row],[S / L]]&lt;Table_BDD[[#This Row],[Lvl Entrée]],Table_BDD[[#This Row],[Lvl Sortie]]&lt;=Table_BDD[[#This Row],[S / L]]+2,Table_BDD[[#This Row],[Lvl Sortie]]&lt;Table_BDD[[#This Row],[Lvl Entrée]]-19),"Oui",IF(AND(Table_BDD[[#This Row],[Type]]="buy",Table_BDD[[#This Row],[S / L]]&gt;Table_BDD[[#This Row],[Lvl Entrée]],Table_BDD[[#This Row],[Lvl Sortie]]&gt;=Table_BDD[[#This Row],[S / L]]-2,Table_BDD[[#This Row],[S / L]]&gt;Table_BDD[[#This Row],[Lvl Entrée]]+19),"Oui","Non")))</f>
        <v>Non</v>
      </c>
      <c r="BB27" s="37" t="str">
        <f>IF(Table_BDD[[#This Row],[Position]]="","Sans objet",IF(AND(Table_BDD[[#This Row],[Type]]="sell",Table_BDD[[#This Row],[S / L]]&lt;Table_BDD[[#This Row],[Lvl Entrée]],Table_BDD[[#This Row],[Points]]&gt;=-1),"Oui",IF(AND(Table_BDD[[#This Row],[Type]]="sell",Table_BDD[[#This Row],[S / L]]&gt;Table_BDD[[#This Row],[Lvl Entrée]]),"Non",IF(AND(Table_BDD[[#This Row],[Type]]="buy",Table_BDD[[#This Row],[S / L]]&lt;Table_BDD[[#This Row],[Lvl Entrée]]),"Non",IF(AND(Table_BDD[[#This Row],[Type]]="buy",Table_BDD[[#This Row],[S / L]]&gt;Table_BDD[[#This Row],[Lvl Entrée]],Table_BDD[[#This Row],[Points]]&gt;=-1),"Oui")))))</f>
        <v>Non</v>
      </c>
      <c r="BC27" s="37" t="str">
        <f>IF(Table_BDD[[#This Row],[Position]]="","Sans objet",IF(Table_BDD[[#This Row],[T / P]]="","Non",IF(AND(Table_BDD[[#This Row],[Type]]="sell",Table_BDD[[#This Row],[Lvl Sortie]]&lt;=Table_BDD[[#This Row],[T / P]]),"Oui",IF(AND(Table_BDD[[#This Row],[Type]]="buy",Table_BDD[[#This Row],[Lvl Sortie]]&gt;=Table_BDD[[#This Row],[T / P]]),"Oui","Non"))))</f>
        <v>Oui</v>
      </c>
      <c r="BD27" s="91">
        <f t="array" ref="BD27">IFERROR(INDEX(downloadFile[#All],MATCH(Table_BDD[[#This Row],[Date]],downloadFile[[#All],[Column1]],0),2),BD26)</f>
        <v>1.1048</v>
      </c>
      <c r="BE27" s="89">
        <f>IF(Table_BDD[[#This Row],[Position]]="","",IF(Table_BDD[[#This Row],[Symbole]]="UsaInd",(Table_BDD[[#This Row],[Volume]]*Table_BDD[[#This Row],[Lvl Entrée]])/(Table_BDD[[#This Row],[Equité avant trade]]*Table_BDD[[#This Row],[EUR/USD]]),IF(Table_BDD[[#This Row],[Symbole]]="Ger30",(Table_BDD[[#This Row],[Volume]]*Table_BDD[[#This Row],[Lvl Entrée]])/Table_BDD[[#This Row],[Equité avant trade]],)))</f>
        <v>13.536882559416499</v>
      </c>
      <c r="BF27" s="38">
        <f>IF(Table_BDD[[#This Row],[Position]]="","",IF(Table_BDD[[#This Row],[Conformité]]="Non conforme",0,(MROUND(3*((Table_BDD[[#This Row],[Conviction]]+Table_BDD[[#This Row],[Timing]]+Table_BDD[[#This Row],[Sortie]])+1)-2,1))))</f>
        <v>0</v>
      </c>
      <c r="BG27" s="38" t="str">
        <f>IF(Table_BDD[[#This Row],[Position]]="","",IF(Table_BDD[[#This Row],[Points]]&lt;-5,"--",IF(AND(Table_BDD[[#This Row],[Points]]&gt;=-5,Table_BDD[[#This Row],[Points]]&lt;-1.5),"-",IF(AND(Table_BDD[[#This Row],[Points]]&gt;=-1.5,Table_BDD[[#This Row],[Points]]&lt;1.5),"0",IF(AND(Table_BDD[[#This Row],[Points]]&gt;=1.5,Table_BDD[[#This Row],[Points]]&lt;=70),"+",IF(Table_BDD[[#This Row],[Points]]&gt;70,"++"))))))</f>
        <v>++</v>
      </c>
      <c r="BH27" s="37" t="str">
        <f>IF(Table_BDD[[#This Row],[Position]]="","",IF(Table_BDD[[#This Row],[Points]]&gt;0,"Gagnant",IF(Table_BDD[[#This Row],[Points]]=0,"Flat","Perdant")))</f>
        <v>Gagnant</v>
      </c>
      <c r="BI27" s="40">
        <f>IF(Table_BDD[[#This Row],[Position]]="","",IF(Table_BDD[[#This Row],[Résultat]]="Gagnant",1,0))</f>
        <v>1</v>
      </c>
      <c r="BJ27" s="40">
        <f>IF(Table_BDD[[#This Row],[Position]]="","",IF(Table_BDD[[#This Row],[Résultat]]="Perdant",1,0))</f>
        <v>0</v>
      </c>
      <c r="BK27" s="40"/>
      <c r="BL27" s="145">
        <f>IF(Table_BDD[[#This Row],[T / P]]="","",Table_BDD[[#This Row],[T / P]])</f>
        <v>28803.69</v>
      </c>
      <c r="BM27" s="147"/>
      <c r="BN27" s="147"/>
      <c r="BO27" s="147"/>
      <c r="BP27" s="147"/>
      <c r="BQ27" s="127"/>
    </row>
    <row r="28" spans="1:69" x14ac:dyDescent="0.2">
      <c r="A28" s="93">
        <v>43866.667986111112</v>
      </c>
      <c r="B28" s="94">
        <v>259507137</v>
      </c>
      <c r="C28" s="37" t="s">
        <v>8</v>
      </c>
      <c r="D28" s="37" t="s">
        <v>9</v>
      </c>
      <c r="E28" s="37">
        <v>0.5</v>
      </c>
      <c r="F28" s="95">
        <v>29138.34</v>
      </c>
      <c r="G28" s="95">
        <v>29128.34</v>
      </c>
      <c r="H28" s="95"/>
      <c r="I28" s="28">
        <v>43866.668368055558</v>
      </c>
      <c r="J28" s="95">
        <v>29128.29</v>
      </c>
      <c r="K28" s="95">
        <v>0</v>
      </c>
      <c r="L28" s="95">
        <v>0</v>
      </c>
      <c r="M28" s="32">
        <v>-4.57</v>
      </c>
      <c r="N28" s="148">
        <f>IF(Table_BDD[[#This Row],[Position]]="","",ROW()-3)</f>
        <v>25</v>
      </c>
      <c r="O28" s="32">
        <f>SUM($L$4:M28)</f>
        <v>7.3100000000000023</v>
      </c>
      <c r="P28" s="32">
        <f>Table_BDD[[#This Row],[Equité avant trade]]+Table_BDD[[#This Row],[Profit]]+Table_BDD[[#This Row],[Echange]]</f>
        <v>1007.31</v>
      </c>
      <c r="Q28" s="52">
        <f>INT(Table_BDD[[#This Row],[Horodatage cloture]])</f>
        <v>43866</v>
      </c>
      <c r="R28" s="34">
        <f>WEEKNUM(Table_BDD[[#This Row],[Horodatage cloture]],2)</f>
        <v>6</v>
      </c>
      <c r="S28" s="61">
        <f>WEEKDAY(Table_BDD[[#This Row],[Horodatage cloture]])</f>
        <v>4</v>
      </c>
      <c r="T28" s="63">
        <f>HOUR(Table_BDD[[#This Row],[Horodatage cloture]])</f>
        <v>16</v>
      </c>
      <c r="U28" s="68">
        <f>IF(Table_BDD[[#This Row],[Position]]="","",IF(Table_BDD[[#This Row],[Valeur début de journée unique]]&lt;&gt;0,1,0))</f>
        <v>1</v>
      </c>
      <c r="V28" s="68">
        <f>IF(Table_BDD[[#This Row],[Nb de séance de trading]]=1,COUNTIF(Table_BDD[Date],Table_BDD[[#This Row],[Date]]),"")</f>
        <v>20</v>
      </c>
      <c r="W28" s="33">
        <f>IF(Table_BDD[[#This Row],[Position]]="","",IF(Table_BDD[[#This Row],[Type]]="buy",ROUND(Table_BDD[[#This Row],[Lvl Entrée]]-Table_BDD[[#This Row],[S / L]],1),ROUND(Table_BDD[[#This Row],[S / L]]-Table_BDD[[#This Row],[Lvl Entrée]],1)))</f>
        <v>10</v>
      </c>
      <c r="X28" s="33">
        <f>IF(Table_BDD[[#This Row],[Position]]="","",IF(Table_BDD[[#This Row],[T / P]]=0,200,IF(Table_BDD[[#This Row],[Type]]="buy",ROUND(Table_BDD[[#This Row],[T / P]]-Table_BDD[[#This Row],[Lvl Entrée]],1),ROUND(Table_BDD[[#This Row],[Lvl Entrée]]-Table_BDD[[#This Row],[T / P]],1))))</f>
        <v>200</v>
      </c>
      <c r="Y28" s="34">
        <f>IF(Table_BDD[[#This Row],[Position]]="","",IF(Table_BDD[[#This Row],[Ecart du SL]]&gt;0,ROUND(ABS(Table_BDD[[#This Row],[Ecart du TP]])/ABS(Table_BDD[[#This Row],[Ecart du SL]]),1),ROUND(ABS(Table_BDD[[#This Row],[Ecart du TP]])/10,1)))</f>
        <v>20</v>
      </c>
      <c r="Z28" s="34">
        <f>IF(Table_BDD[[#This Row],[Position]]="","",IF(Table_BDD[[#This Row],[Ecart du SL]]&lt;0,IF(AND(Table_BDD[[#This Row],[Profit]]&gt;0,Table_BDD[[#This Row],[Type]]="sell"),ROUND((Table_BDD[[#This Row],[Lvl Entrée]]-Table_BDD[[#This Row],[Lvl Sortie]])/(10),1),IF(AND(Table_BDD[[#This Row],[Profit]]&gt;0,Table_BDD[[#This Row],[Type]]="buy"),ROUND((Table_BDD[[#This Row],[Lvl Sortie]]-Table_BDD[[#This Row],[Lvl Entrée]])/(10),1),)),IF(AND(Table_BDD[[#This Row],[Profit]]&gt;0,Table_BDD[[#This Row],[Type]]="sell"),ROUND((Table_BDD[[#This Row],[Lvl Entrée]]-Table_BDD[[#This Row],[Lvl Sortie]])/(Table_BDD[[#This Row],[S / L]]-Table_BDD[[#This Row],[Lvl Entrée]]),1),IF(AND(Table_BDD[[#This Row],[Profit]]&gt;0,Table_BDD[[#This Row],[Type]]="buy"),ROUND((Table_BDD[[#This Row],[Lvl Sortie]]-Table_BDD[[#This Row],[Lvl Entrée]])/(Table_BDD[[#This Row],[Lvl Entrée]]-Table_BDD[[#This Row],[S / L]]),1),ROUND(Table_BDD[[#This Row],[Points]]/10,1)))))</f>
        <v>-1</v>
      </c>
      <c r="AA28" s="32">
        <f>IF(Table_BDD[[#This Row],[Position]]="",AA27,Table_BDD[[#This Row],[Equité après trade]]-Table_BDD[[#This Row],[Profit]]-Table_BDD[[#This Row],[Echange]])</f>
        <v>1011.88</v>
      </c>
      <c r="AB28" s="149">
        <f>$B$1+SUM($L$4:M28)</f>
        <v>1007.31</v>
      </c>
      <c r="AC28" s="150">
        <f>IF(Table_BDD[[#This Row],[Position]]="","",_xlfn.MINIFS(Table_BDD[Horodatage ouverture],Table_BDD[Date],Table_BDD[Date]))</f>
        <v>43866.667986111112</v>
      </c>
      <c r="AD28" s="149">
        <f>VLOOKUP(_xlfn.MINIFS(Table_BDD[Horodatage ouverture],Table_BDD[Date],Table_BDD[Date]),Table_BDD[[Horodatage ouverture]:[Heure derniere valeur]],AA$2)</f>
        <v>1011.88</v>
      </c>
      <c r="AE28" s="149">
        <f>IF(VLOOKUP(_xlfn.MINIFS(Table_BDD[Horodatage ouverture],Table_BDD[Date],Table_BDD[Date]),Table_BDD[[Horodatage ouverture]:[Heure derniere valeur]],AA$2)=Table_BDD[[#This Row],[Equité avant trade]],VLOOKUP(_xlfn.MINIFS(Table_BDD[Horodatage ouverture],Table_BDD[Date],Table_BDD[Date]),Table_BDD[[Horodatage ouverture]:[Heure derniere valeur]],AA$2),0)</f>
        <v>1011.88</v>
      </c>
      <c r="AF28" s="150">
        <f>IF(Table_BDD[[#This Row],[Position]]="","",_xlfn.MAXIFS(Table_BDD[Horodatage ouverture],Table_BDD[Date],Table_BDD[Date]))</f>
        <v>43866.695891203701</v>
      </c>
      <c r="AG28" s="32">
        <f>VLOOKUP(_xlfn.MAXIFS(Table_BDD[Horodatage cloture],Table_BDD[Date],Table_BDD[Date]),Table_BDD[[Horodatage ouverture]:[Heure derniere valeur]],AB$2)</f>
        <v>1017.63</v>
      </c>
      <c r="AH28" s="32">
        <f>IF(VLOOKUP(_xlfn.MAXIFS(Table_BDD[Horodatage cloture],Table_BDD[Date],Table_BDD[Date]),Table_BDD[[Horodatage ouverture]:[Heure derniere valeur]],AB$2)=Table_BDD[[#This Row],[Equité après trade]],VLOOKUP(_xlfn.MAXIFS(Table_BDD[Horodatage cloture],Table_BDD[Date],Table_BDD[Date]),Table_BDD[[Horodatage ouverture]:[Heure derniere valeur]],AB$2),0)</f>
        <v>0</v>
      </c>
      <c r="AI28" s="32" t="e">
        <f>IF(Table_BDD[[#This Row],[Valeur fin de journée unique]]=0,#N/A,Table_BDD[[#This Row],[Valeur fin de journée unique]])</f>
        <v>#N/A</v>
      </c>
      <c r="AJ28" s="35">
        <f>IF(Table_BDD[[#This Row],[Position]]="","",(Table_BDD[[#This Row],[Equité après trade]]-Table_BDD[[#This Row],[Equité avant trade]])/Table_BDD[[#This Row],[Equité avant trade]])</f>
        <v>-4.5163458117563841E-3</v>
      </c>
      <c r="AK28" s="35">
        <f>IFERROR(((INDEX(Table_BDD[[Trade n°]:[Valeur fin de journée unique]],Table_BDD[[#This Row],[Nb de trade du jour]]+Table_BDD[[#This Row],[Trade n°]]-1,21))-Table_BDD[[#This Row],[Valeur début de journée unique]])/Table_BDD[[#This Row],[Valeur début de journée unique]],"")</f>
        <v>5.6824919950982334E-3</v>
      </c>
      <c r="AL28" s="32">
        <f>IF(Table_BDD[[#This Row],[Position]]="","",MAX(Table_BDD[[#This Row],[Cumul équité]],AL27))</f>
        <v>1019.44</v>
      </c>
      <c r="AM28" s="32">
        <f>IF(Table_BDD[[#This Row],[Position]]="","",MIN(Table_BDD[[#This Row],[Cumul équité]],AL27))</f>
        <v>1007.31</v>
      </c>
      <c r="AN28" s="97">
        <f>IF(Table_BDD[[#This Row],[Sommet Drawdown]]&gt;AL27,"",Table_BDD[[#This Row],[Creux Drawdown]]/Table_BDD[[#This Row],[Sommet Drawdown]]-1)</f>
        <v>-1.1898689476575464E-2</v>
      </c>
      <c r="AO28" s="36">
        <f>IF(Table_BDD[[#This Row],[Position]]="","",IF(Table_BDD[[#This Row],[Type]]="buy",ROUND(Table_BDD[[#This Row],[Lvl Sortie]]-Table_BDD[[#This Row],[Lvl Entrée]],1),ROUND(Table_BDD[[#This Row],[Lvl Entrée]]-Table_BDD[[#This Row],[Lvl Sortie]],1)))</f>
        <v>-10</v>
      </c>
      <c r="AP28" s="36" t="str">
        <f>IF(Table_BDD[[#This Row],[Points]]&gt;0,Table_BDD[[#This Row],[Points]],"")</f>
        <v/>
      </c>
      <c r="AQ28" s="36">
        <f>IF(Table_BDD[[#This Row],[Points]]&lt;0,Table_BDD[[#This Row],[Points]],"")</f>
        <v>-10</v>
      </c>
      <c r="AR28" s="36">
        <f>SUM($AO$4:AO28)</f>
        <v>16.200000000000003</v>
      </c>
      <c r="AS28" s="68">
        <f>IF(Table_BDD[[#This Row],[Position]]="","",IF(Table_BDD[[#This Row],[Conformité]]="Conforme",1,0))</f>
        <v>0</v>
      </c>
      <c r="AT28" s="68">
        <f>IF(Table_BDD[[#This Row],[Position]]="","",IF(Table_BDD[[#This Row],[Conformité]]="Non conforme",1,0))</f>
        <v>1</v>
      </c>
      <c r="AU28" s="37" t="s">
        <v>17</v>
      </c>
      <c r="AV28" s="37"/>
      <c r="AW28" s="37"/>
      <c r="AX28" s="37">
        <v>0</v>
      </c>
      <c r="AY28" s="37">
        <v>0</v>
      </c>
      <c r="AZ28" s="37">
        <v>0</v>
      </c>
      <c r="BA28" s="37" t="str">
        <f>IF(Table_BDD[[#This Row],[Position]]="","Sans objet",IF(AND(Table_BDD[[#This Row],[Type]]="sell",Table_BDD[[#This Row],[S / L]]&lt;Table_BDD[[#This Row],[Lvl Entrée]],Table_BDD[[#This Row],[Lvl Sortie]]&lt;=Table_BDD[[#This Row],[S / L]]+2,Table_BDD[[#This Row],[Lvl Sortie]]&lt;Table_BDD[[#This Row],[Lvl Entrée]]-19),"Oui",IF(AND(Table_BDD[[#This Row],[Type]]="buy",Table_BDD[[#This Row],[S / L]]&gt;Table_BDD[[#This Row],[Lvl Entrée]],Table_BDD[[#This Row],[Lvl Sortie]]&gt;=Table_BDD[[#This Row],[S / L]]-2,Table_BDD[[#This Row],[S / L]]&gt;Table_BDD[[#This Row],[Lvl Entrée]]+19),"Oui","Non")))</f>
        <v>Non</v>
      </c>
      <c r="BB28" s="37" t="str">
        <f>IF(Table_BDD[[#This Row],[Position]]="","Sans objet",IF(AND(Table_BDD[[#This Row],[Type]]="sell",Table_BDD[[#This Row],[S / L]]&lt;Table_BDD[[#This Row],[Lvl Entrée]],Table_BDD[[#This Row],[Points]]&gt;=-1),"Oui",IF(AND(Table_BDD[[#This Row],[Type]]="sell",Table_BDD[[#This Row],[S / L]]&gt;Table_BDD[[#This Row],[Lvl Entrée]]),"Non",IF(AND(Table_BDD[[#This Row],[Type]]="buy",Table_BDD[[#This Row],[S / L]]&lt;Table_BDD[[#This Row],[Lvl Entrée]]),"Non",IF(AND(Table_BDD[[#This Row],[Type]]="buy",Table_BDD[[#This Row],[S / L]]&gt;Table_BDD[[#This Row],[Lvl Entrée]],Table_BDD[[#This Row],[Points]]&gt;=-1),"Oui")))))</f>
        <v>Non</v>
      </c>
      <c r="BC28" s="37" t="str">
        <f>IF(Table_BDD[[#This Row],[Position]]="","Sans objet",IF(Table_BDD[[#This Row],[T / P]]="","Non",IF(AND(Table_BDD[[#This Row],[Type]]="sell",Table_BDD[[#This Row],[Lvl Sortie]]&lt;=Table_BDD[[#This Row],[T / P]]),"Oui",IF(AND(Table_BDD[[#This Row],[Type]]="buy",Table_BDD[[#This Row],[Lvl Sortie]]&gt;=Table_BDD[[#This Row],[T / P]]),"Oui","Non"))))</f>
        <v>Non</v>
      </c>
      <c r="BD28" s="91">
        <f t="array" ref="BD28">IFERROR(INDEX(downloadFile[#All],MATCH(Table_BDD[[#This Row],[Date]],downloadFile[[#All],[Column1]],0),2),BD27)</f>
        <v>1.1023000000000001</v>
      </c>
      <c r="BE28" s="89">
        <f>IF(Table_BDD[[#This Row],[Position]]="","",IF(Table_BDD[[#This Row],[Symbole]]="UsaInd",(Table_BDD[[#This Row],[Volume]]*Table_BDD[[#This Row],[Lvl Entrée]])/(Table_BDD[[#This Row],[Equité avant trade]]*Table_BDD[[#This Row],[EUR/USD]]),IF(Table_BDD[[#This Row],[Symbole]]="Ger30",(Table_BDD[[#This Row],[Volume]]*Table_BDD[[#This Row],[Lvl Entrée]])/Table_BDD[[#This Row],[Equité avant trade]],)))</f>
        <v>13.061889077813634</v>
      </c>
      <c r="BF28" s="38">
        <f>IF(Table_BDD[[#This Row],[Position]]="","",IF(Table_BDD[[#This Row],[Conformité]]="Non conforme",0,(MROUND(3*((Table_BDD[[#This Row],[Conviction]]+Table_BDD[[#This Row],[Timing]]+Table_BDD[[#This Row],[Sortie]])+1)-2,1))))</f>
        <v>0</v>
      </c>
      <c r="BG28" s="38" t="str">
        <f>IF(Table_BDD[[#This Row],[Position]]="","",IF(Table_BDD[[#This Row],[Points]]&lt;-5,"--",IF(AND(Table_BDD[[#This Row],[Points]]&gt;=-5,Table_BDD[[#This Row],[Points]]&lt;-1.5),"-",IF(AND(Table_BDD[[#This Row],[Points]]&gt;=-1.5,Table_BDD[[#This Row],[Points]]&lt;1.5),"0",IF(AND(Table_BDD[[#This Row],[Points]]&gt;=1.5,Table_BDD[[#This Row],[Points]]&lt;=70),"+",IF(Table_BDD[[#This Row],[Points]]&gt;70,"++"))))))</f>
        <v>--</v>
      </c>
      <c r="BH28" s="37" t="str">
        <f>IF(Table_BDD[[#This Row],[Position]]="","",IF(Table_BDD[[#This Row],[Points]]&gt;0,"Gagnant",IF(Table_BDD[[#This Row],[Points]]=0,"Flat","Perdant")))</f>
        <v>Perdant</v>
      </c>
      <c r="BI28" s="40">
        <f>IF(Table_BDD[[#This Row],[Position]]="","",IF(Table_BDD[[#This Row],[Résultat]]="Gagnant",1,0))</f>
        <v>0</v>
      </c>
      <c r="BJ28" s="40">
        <f>IF(Table_BDD[[#This Row],[Position]]="","",IF(Table_BDD[[#This Row],[Résultat]]="Perdant",1,0))</f>
        <v>1</v>
      </c>
      <c r="BK28" s="40"/>
      <c r="BL28" s="145" t="str">
        <f>IF(Table_BDD[[#This Row],[T / P]]="","",Table_BDD[[#This Row],[T / P]])</f>
        <v/>
      </c>
      <c r="BM28" s="147"/>
      <c r="BN28" s="147"/>
      <c r="BO28" s="147"/>
      <c r="BP28" s="147"/>
      <c r="BQ28" s="127"/>
    </row>
    <row r="29" spans="1:69" x14ac:dyDescent="0.2">
      <c r="A29" s="93">
        <v>43866.668449074074</v>
      </c>
      <c r="B29" s="94">
        <v>259507198</v>
      </c>
      <c r="C29" s="37" t="s">
        <v>8</v>
      </c>
      <c r="D29" s="37" t="s">
        <v>9</v>
      </c>
      <c r="E29" s="37">
        <v>0.5</v>
      </c>
      <c r="F29" s="95">
        <v>29135.11</v>
      </c>
      <c r="G29" s="95">
        <v>29125.11</v>
      </c>
      <c r="H29" s="95">
        <v>29185.11</v>
      </c>
      <c r="I29" s="28">
        <v>43866.668923611112</v>
      </c>
      <c r="J29" s="95">
        <v>29124.959999999999</v>
      </c>
      <c r="K29" s="95">
        <v>0</v>
      </c>
      <c r="L29" s="95">
        <v>0</v>
      </c>
      <c r="M29" s="32">
        <v>-4.62</v>
      </c>
      <c r="N29" s="148">
        <f>IF(Table_BDD[[#This Row],[Position]]="","",ROW()-3)</f>
        <v>26</v>
      </c>
      <c r="O29" s="32">
        <f>SUM($L$4:M29)</f>
        <v>2.6900000000000022</v>
      </c>
      <c r="P29" s="32">
        <f>Table_BDD[[#This Row],[Equité avant trade]]+Table_BDD[[#This Row],[Profit]]+Table_BDD[[#This Row],[Echange]]</f>
        <v>1002.69</v>
      </c>
      <c r="Q29" s="52">
        <f>INT(Table_BDD[[#This Row],[Horodatage cloture]])</f>
        <v>43866</v>
      </c>
      <c r="R29" s="34">
        <f>WEEKNUM(Table_BDD[[#This Row],[Horodatage cloture]],2)</f>
        <v>6</v>
      </c>
      <c r="S29" s="61">
        <f>WEEKDAY(Table_BDD[[#This Row],[Horodatage cloture]])</f>
        <v>4</v>
      </c>
      <c r="T29" s="63">
        <f>HOUR(Table_BDD[[#This Row],[Horodatage cloture]])</f>
        <v>16</v>
      </c>
      <c r="U29" s="68">
        <f>IF(Table_BDD[[#This Row],[Position]]="","",IF(Table_BDD[[#This Row],[Valeur début de journée unique]]&lt;&gt;0,1,0))</f>
        <v>0</v>
      </c>
      <c r="V29" s="68" t="str">
        <f>IF(Table_BDD[[#This Row],[Nb de séance de trading]]=1,COUNTIF(Table_BDD[Date],Table_BDD[[#This Row],[Date]]),"")</f>
        <v/>
      </c>
      <c r="W29" s="33">
        <f>IF(Table_BDD[[#This Row],[Position]]="","",IF(Table_BDD[[#This Row],[Type]]="buy",ROUND(Table_BDD[[#This Row],[Lvl Entrée]]-Table_BDD[[#This Row],[S / L]],1),ROUND(Table_BDD[[#This Row],[S / L]]-Table_BDD[[#This Row],[Lvl Entrée]],1)))</f>
        <v>10</v>
      </c>
      <c r="X29" s="33">
        <f>IF(Table_BDD[[#This Row],[Position]]="","",IF(Table_BDD[[#This Row],[T / P]]=0,200,IF(Table_BDD[[#This Row],[Type]]="buy",ROUND(Table_BDD[[#This Row],[T / P]]-Table_BDD[[#This Row],[Lvl Entrée]],1),ROUND(Table_BDD[[#This Row],[Lvl Entrée]]-Table_BDD[[#This Row],[T / P]],1))))</f>
        <v>50</v>
      </c>
      <c r="Y29" s="34">
        <f>IF(Table_BDD[[#This Row],[Position]]="","",IF(Table_BDD[[#This Row],[Ecart du SL]]&gt;0,ROUND(ABS(Table_BDD[[#This Row],[Ecart du TP]])/ABS(Table_BDD[[#This Row],[Ecart du SL]]),1),ROUND(ABS(Table_BDD[[#This Row],[Ecart du TP]])/10,1)))</f>
        <v>5</v>
      </c>
      <c r="Z29" s="34">
        <f>IF(Table_BDD[[#This Row],[Position]]="","",IF(Table_BDD[[#This Row],[Ecart du SL]]&lt;0,IF(AND(Table_BDD[[#This Row],[Profit]]&gt;0,Table_BDD[[#This Row],[Type]]="sell"),ROUND((Table_BDD[[#This Row],[Lvl Entrée]]-Table_BDD[[#This Row],[Lvl Sortie]])/(10),1),IF(AND(Table_BDD[[#This Row],[Profit]]&gt;0,Table_BDD[[#This Row],[Type]]="buy"),ROUND((Table_BDD[[#This Row],[Lvl Sortie]]-Table_BDD[[#This Row],[Lvl Entrée]])/(10),1),)),IF(AND(Table_BDD[[#This Row],[Profit]]&gt;0,Table_BDD[[#This Row],[Type]]="sell"),ROUND((Table_BDD[[#This Row],[Lvl Entrée]]-Table_BDD[[#This Row],[Lvl Sortie]])/(Table_BDD[[#This Row],[S / L]]-Table_BDD[[#This Row],[Lvl Entrée]]),1),IF(AND(Table_BDD[[#This Row],[Profit]]&gt;0,Table_BDD[[#This Row],[Type]]="buy"),ROUND((Table_BDD[[#This Row],[Lvl Sortie]]-Table_BDD[[#This Row],[Lvl Entrée]])/(Table_BDD[[#This Row],[Lvl Entrée]]-Table_BDD[[#This Row],[S / L]]),1),ROUND(Table_BDD[[#This Row],[Points]]/10,1)))))</f>
        <v>-1</v>
      </c>
      <c r="AA29" s="32">
        <f>IF(Table_BDD[[#This Row],[Position]]="",AA28,Table_BDD[[#This Row],[Equité après trade]]-Table_BDD[[#This Row],[Profit]]-Table_BDD[[#This Row],[Echange]])</f>
        <v>1007.3100000000001</v>
      </c>
      <c r="AB29" s="149">
        <f>$B$1+SUM($L$4:M29)</f>
        <v>1002.69</v>
      </c>
      <c r="AC29" s="150">
        <f>IF(Table_BDD[[#This Row],[Position]]="","",_xlfn.MINIFS(Table_BDD[Horodatage ouverture],Table_BDD[Date],Table_BDD[Date]))</f>
        <v>43866.667986111112</v>
      </c>
      <c r="AD29" s="149">
        <f>VLOOKUP(_xlfn.MINIFS(Table_BDD[Horodatage ouverture],Table_BDD[Date],Table_BDD[Date]),Table_BDD[[Horodatage ouverture]:[Heure derniere valeur]],AA$2)</f>
        <v>1011.88</v>
      </c>
      <c r="AE29" s="149">
        <f>IF(VLOOKUP(_xlfn.MINIFS(Table_BDD[Horodatage ouverture],Table_BDD[Date],Table_BDD[Date]),Table_BDD[[Horodatage ouverture]:[Heure derniere valeur]],AA$2)=Table_BDD[[#This Row],[Equité avant trade]],VLOOKUP(_xlfn.MINIFS(Table_BDD[Horodatage ouverture],Table_BDD[Date],Table_BDD[Date]),Table_BDD[[Horodatage ouverture]:[Heure derniere valeur]],AA$2),0)</f>
        <v>0</v>
      </c>
      <c r="AF29" s="150">
        <f>IF(Table_BDD[[#This Row],[Position]]="","",_xlfn.MAXIFS(Table_BDD[Horodatage ouverture],Table_BDD[Date],Table_BDD[Date]))</f>
        <v>43866.695891203701</v>
      </c>
      <c r="AG29" s="32">
        <f>VLOOKUP(_xlfn.MAXIFS(Table_BDD[Horodatage cloture],Table_BDD[Date],Table_BDD[Date]),Table_BDD[[Horodatage ouverture]:[Heure derniere valeur]],AB$2)</f>
        <v>1017.63</v>
      </c>
      <c r="AH29" s="32">
        <f>IF(VLOOKUP(_xlfn.MAXIFS(Table_BDD[Horodatage cloture],Table_BDD[Date],Table_BDD[Date]),Table_BDD[[Horodatage ouverture]:[Heure derniere valeur]],AB$2)=Table_BDD[[#This Row],[Equité après trade]],VLOOKUP(_xlfn.MAXIFS(Table_BDD[Horodatage cloture],Table_BDD[Date],Table_BDD[Date]),Table_BDD[[Horodatage ouverture]:[Heure derniere valeur]],AB$2),0)</f>
        <v>0</v>
      </c>
      <c r="AI29" s="32" t="e">
        <f>IF(Table_BDD[[#This Row],[Valeur fin de journée unique]]=0,#N/A,Table_BDD[[#This Row],[Valeur fin de journée unique]])</f>
        <v>#N/A</v>
      </c>
      <c r="AJ29" s="35">
        <f>IF(Table_BDD[[#This Row],[Position]]="","",(Table_BDD[[#This Row],[Equité après trade]]-Table_BDD[[#This Row],[Equité avant trade]])/Table_BDD[[#This Row],[Equité avant trade]])</f>
        <v>-4.5864728832236395E-3</v>
      </c>
      <c r="AK29" s="35" t="str">
        <f>IFERROR(((INDEX(Table_BDD[[Trade n°]:[Valeur fin de journée unique]],Table_BDD[[#This Row],[Nb de trade du jour]]+Table_BDD[[#This Row],[Trade n°]]-1,21))-Table_BDD[[#This Row],[Valeur début de journée unique]])/Table_BDD[[#This Row],[Valeur début de journée unique]],"")</f>
        <v/>
      </c>
      <c r="AL29" s="32">
        <f>IF(Table_BDD[[#This Row],[Position]]="","",MAX(Table_BDD[[#This Row],[Cumul équité]],AL28))</f>
        <v>1019.44</v>
      </c>
      <c r="AM29" s="32">
        <f>IF(Table_BDD[[#This Row],[Position]]="","",MIN(Table_BDD[[#This Row],[Cumul équité]],AL28))</f>
        <v>1002.69</v>
      </c>
      <c r="AN29" s="97">
        <f>IF(Table_BDD[[#This Row],[Sommet Drawdown]]&gt;AL28,"",Table_BDD[[#This Row],[Creux Drawdown]]/Table_BDD[[#This Row],[Sommet Drawdown]]-1)</f>
        <v>-1.6430589343168767E-2</v>
      </c>
      <c r="AO29" s="36">
        <f>IF(Table_BDD[[#This Row],[Position]]="","",IF(Table_BDD[[#This Row],[Type]]="buy",ROUND(Table_BDD[[#This Row],[Lvl Sortie]]-Table_BDD[[#This Row],[Lvl Entrée]],1),ROUND(Table_BDD[[#This Row],[Lvl Entrée]]-Table_BDD[[#This Row],[Lvl Sortie]],1)))</f>
        <v>-10.199999999999999</v>
      </c>
      <c r="AP29" s="36" t="str">
        <f>IF(Table_BDD[[#This Row],[Points]]&gt;0,Table_BDD[[#This Row],[Points]],"")</f>
        <v/>
      </c>
      <c r="AQ29" s="36">
        <f>IF(Table_BDD[[#This Row],[Points]]&lt;0,Table_BDD[[#This Row],[Points]],"")</f>
        <v>-10.199999999999999</v>
      </c>
      <c r="AR29" s="36">
        <f>SUM($AO$4:AO29)</f>
        <v>6.0000000000000036</v>
      </c>
      <c r="AS29" s="68">
        <f>IF(Table_BDD[[#This Row],[Position]]="","",IF(Table_BDD[[#This Row],[Conformité]]="Conforme",1,0))</f>
        <v>0</v>
      </c>
      <c r="AT29" s="68">
        <f>IF(Table_BDD[[#This Row],[Position]]="","",IF(Table_BDD[[#This Row],[Conformité]]="Non conforme",1,0))</f>
        <v>1</v>
      </c>
      <c r="AU29" s="37" t="s">
        <v>17</v>
      </c>
      <c r="AV29" s="37"/>
      <c r="AW29" s="37"/>
      <c r="AX29" s="37">
        <v>0</v>
      </c>
      <c r="AY29" s="37">
        <v>0</v>
      </c>
      <c r="AZ29" s="37">
        <v>0</v>
      </c>
      <c r="BA29" s="37" t="str">
        <f>IF(Table_BDD[[#This Row],[Position]]="","Sans objet",IF(AND(Table_BDD[[#This Row],[Type]]="sell",Table_BDD[[#This Row],[S / L]]&lt;Table_BDD[[#This Row],[Lvl Entrée]],Table_BDD[[#This Row],[Lvl Sortie]]&lt;=Table_BDD[[#This Row],[S / L]]+2,Table_BDD[[#This Row],[Lvl Sortie]]&lt;Table_BDD[[#This Row],[Lvl Entrée]]-19),"Oui",IF(AND(Table_BDD[[#This Row],[Type]]="buy",Table_BDD[[#This Row],[S / L]]&gt;Table_BDD[[#This Row],[Lvl Entrée]],Table_BDD[[#This Row],[Lvl Sortie]]&gt;=Table_BDD[[#This Row],[S / L]]-2,Table_BDD[[#This Row],[S / L]]&gt;Table_BDD[[#This Row],[Lvl Entrée]]+19),"Oui","Non")))</f>
        <v>Non</v>
      </c>
      <c r="BB29" s="37" t="str">
        <f>IF(Table_BDD[[#This Row],[Position]]="","Sans objet",IF(AND(Table_BDD[[#This Row],[Type]]="sell",Table_BDD[[#This Row],[S / L]]&lt;Table_BDD[[#This Row],[Lvl Entrée]],Table_BDD[[#This Row],[Points]]&gt;=-1),"Oui",IF(AND(Table_BDD[[#This Row],[Type]]="sell",Table_BDD[[#This Row],[S / L]]&gt;Table_BDD[[#This Row],[Lvl Entrée]]),"Non",IF(AND(Table_BDD[[#This Row],[Type]]="buy",Table_BDD[[#This Row],[S / L]]&lt;Table_BDD[[#This Row],[Lvl Entrée]]),"Non",IF(AND(Table_BDD[[#This Row],[Type]]="buy",Table_BDD[[#This Row],[S / L]]&gt;Table_BDD[[#This Row],[Lvl Entrée]],Table_BDD[[#This Row],[Points]]&gt;=-1),"Oui")))))</f>
        <v>Non</v>
      </c>
      <c r="BC29" s="37" t="str">
        <f>IF(Table_BDD[[#This Row],[Position]]="","Sans objet",IF(Table_BDD[[#This Row],[T / P]]="","Non",IF(AND(Table_BDD[[#This Row],[Type]]="sell",Table_BDD[[#This Row],[Lvl Sortie]]&lt;=Table_BDD[[#This Row],[T / P]]),"Oui",IF(AND(Table_BDD[[#This Row],[Type]]="buy",Table_BDD[[#This Row],[Lvl Sortie]]&gt;=Table_BDD[[#This Row],[T / P]]),"Oui","Non"))))</f>
        <v>Non</v>
      </c>
      <c r="BD29" s="91">
        <f t="array" ref="BD29">IFERROR(INDEX(downloadFile[#All],MATCH(Table_BDD[[#This Row],[Date]],downloadFile[[#All],[Column1]],0),2),BD28)</f>
        <v>1.1023000000000001</v>
      </c>
      <c r="BE29" s="89">
        <f>IF(Table_BDD[[#This Row],[Position]]="","",IF(Table_BDD[[#This Row],[Symbole]]="UsaInd",(Table_BDD[[#This Row],[Volume]]*Table_BDD[[#This Row],[Lvl Entrée]])/(Table_BDD[[#This Row],[Equité avant trade]]*Table_BDD[[#This Row],[EUR/USD]]),IF(Table_BDD[[#This Row],[Symbole]]="Ger30",(Table_BDD[[#This Row],[Volume]]*Table_BDD[[#This Row],[Lvl Entrée]])/Table_BDD[[#This Row],[Equité avant trade]],)))</f>
        <v>13.119694236798241</v>
      </c>
      <c r="BF29" s="38">
        <f>IF(Table_BDD[[#This Row],[Position]]="","",IF(Table_BDD[[#This Row],[Conformité]]="Non conforme",0,(MROUND(3*((Table_BDD[[#This Row],[Conviction]]+Table_BDD[[#This Row],[Timing]]+Table_BDD[[#This Row],[Sortie]])+1)-2,1))))</f>
        <v>0</v>
      </c>
      <c r="BG29" s="38" t="str">
        <f>IF(Table_BDD[[#This Row],[Position]]="","",IF(Table_BDD[[#This Row],[Points]]&lt;-5,"--",IF(AND(Table_BDD[[#This Row],[Points]]&gt;=-5,Table_BDD[[#This Row],[Points]]&lt;-1.5),"-",IF(AND(Table_BDD[[#This Row],[Points]]&gt;=-1.5,Table_BDD[[#This Row],[Points]]&lt;1.5),"0",IF(AND(Table_BDD[[#This Row],[Points]]&gt;=1.5,Table_BDD[[#This Row],[Points]]&lt;=70),"+",IF(Table_BDD[[#This Row],[Points]]&gt;70,"++"))))))</f>
        <v>--</v>
      </c>
      <c r="BH29" s="37" t="str">
        <f>IF(Table_BDD[[#This Row],[Position]]="","",IF(Table_BDD[[#This Row],[Points]]&gt;0,"Gagnant",IF(Table_BDD[[#This Row],[Points]]=0,"Flat","Perdant")))</f>
        <v>Perdant</v>
      </c>
      <c r="BI29" s="40">
        <f>IF(Table_BDD[[#This Row],[Position]]="","",IF(Table_BDD[[#This Row],[Résultat]]="Gagnant",1,0))</f>
        <v>0</v>
      </c>
      <c r="BJ29" s="40">
        <f>IF(Table_BDD[[#This Row],[Position]]="","",IF(Table_BDD[[#This Row],[Résultat]]="Perdant",1,0))</f>
        <v>1</v>
      </c>
      <c r="BK29" s="40"/>
      <c r="BL29" s="145">
        <f>IF(Table_BDD[[#This Row],[T / P]]="","",Table_BDD[[#This Row],[T / P]])</f>
        <v>29185.11</v>
      </c>
      <c r="BM29" s="147"/>
      <c r="BN29" s="147"/>
      <c r="BO29" s="147"/>
      <c r="BP29" s="147"/>
      <c r="BQ29" s="127"/>
    </row>
    <row r="30" spans="1:69" x14ac:dyDescent="0.2">
      <c r="A30" s="93">
        <v>43866.66920138889</v>
      </c>
      <c r="B30" s="94">
        <v>259507324</v>
      </c>
      <c r="C30" s="37" t="s">
        <v>8</v>
      </c>
      <c r="D30" s="37" t="s">
        <v>9</v>
      </c>
      <c r="E30" s="37">
        <v>0.5</v>
      </c>
      <c r="F30" s="95">
        <v>29136.2</v>
      </c>
      <c r="G30" s="95">
        <v>29126.2</v>
      </c>
      <c r="H30" s="95">
        <v>29186.2</v>
      </c>
      <c r="I30" s="28">
        <v>43866.669479166667</v>
      </c>
      <c r="J30" s="95">
        <v>29125.99</v>
      </c>
      <c r="K30" s="95">
        <v>0</v>
      </c>
      <c r="L30" s="95">
        <v>0</v>
      </c>
      <c r="M30" s="32">
        <v>-4.6500000000000004</v>
      </c>
      <c r="N30" s="148">
        <f>IF(Table_BDD[[#This Row],[Position]]="","",ROW()-3)</f>
        <v>27</v>
      </c>
      <c r="O30" s="32">
        <f>SUM($L$4:M30)</f>
        <v>-1.9599999999999982</v>
      </c>
      <c r="P30" s="32">
        <f>Table_BDD[[#This Row],[Equité avant trade]]+Table_BDD[[#This Row],[Profit]]+Table_BDD[[#This Row],[Echange]]</f>
        <v>998.04</v>
      </c>
      <c r="Q30" s="52">
        <f>INT(Table_BDD[[#This Row],[Horodatage cloture]])</f>
        <v>43866</v>
      </c>
      <c r="R30" s="34">
        <f>WEEKNUM(Table_BDD[[#This Row],[Horodatage cloture]],2)</f>
        <v>6</v>
      </c>
      <c r="S30" s="61">
        <f>WEEKDAY(Table_BDD[[#This Row],[Horodatage cloture]])</f>
        <v>4</v>
      </c>
      <c r="T30" s="63">
        <f>HOUR(Table_BDD[[#This Row],[Horodatage cloture]])</f>
        <v>16</v>
      </c>
      <c r="U30" s="68">
        <f>IF(Table_BDD[[#This Row],[Position]]="","",IF(Table_BDD[[#This Row],[Valeur début de journée unique]]&lt;&gt;0,1,0))</f>
        <v>0</v>
      </c>
      <c r="V30" s="68" t="str">
        <f>IF(Table_BDD[[#This Row],[Nb de séance de trading]]=1,COUNTIF(Table_BDD[Date],Table_BDD[[#This Row],[Date]]),"")</f>
        <v/>
      </c>
      <c r="W30" s="33">
        <f>IF(Table_BDD[[#This Row],[Position]]="","",IF(Table_BDD[[#This Row],[Type]]="buy",ROUND(Table_BDD[[#This Row],[Lvl Entrée]]-Table_BDD[[#This Row],[S / L]],1),ROUND(Table_BDD[[#This Row],[S / L]]-Table_BDD[[#This Row],[Lvl Entrée]],1)))</f>
        <v>10</v>
      </c>
      <c r="X30" s="33">
        <f>IF(Table_BDD[[#This Row],[Position]]="","",IF(Table_BDD[[#This Row],[T / P]]=0,200,IF(Table_BDD[[#This Row],[Type]]="buy",ROUND(Table_BDD[[#This Row],[T / P]]-Table_BDD[[#This Row],[Lvl Entrée]],1),ROUND(Table_BDD[[#This Row],[Lvl Entrée]]-Table_BDD[[#This Row],[T / P]],1))))</f>
        <v>50</v>
      </c>
      <c r="Y30" s="34">
        <f>IF(Table_BDD[[#This Row],[Position]]="","",IF(Table_BDD[[#This Row],[Ecart du SL]]&gt;0,ROUND(ABS(Table_BDD[[#This Row],[Ecart du TP]])/ABS(Table_BDD[[#This Row],[Ecart du SL]]),1),ROUND(ABS(Table_BDD[[#This Row],[Ecart du TP]])/10,1)))</f>
        <v>5</v>
      </c>
      <c r="Z30" s="34">
        <f>IF(Table_BDD[[#This Row],[Position]]="","",IF(Table_BDD[[#This Row],[Ecart du SL]]&lt;0,IF(AND(Table_BDD[[#This Row],[Profit]]&gt;0,Table_BDD[[#This Row],[Type]]="sell"),ROUND((Table_BDD[[#This Row],[Lvl Entrée]]-Table_BDD[[#This Row],[Lvl Sortie]])/(10),1),IF(AND(Table_BDD[[#This Row],[Profit]]&gt;0,Table_BDD[[#This Row],[Type]]="buy"),ROUND((Table_BDD[[#This Row],[Lvl Sortie]]-Table_BDD[[#This Row],[Lvl Entrée]])/(10),1),)),IF(AND(Table_BDD[[#This Row],[Profit]]&gt;0,Table_BDD[[#This Row],[Type]]="sell"),ROUND((Table_BDD[[#This Row],[Lvl Entrée]]-Table_BDD[[#This Row],[Lvl Sortie]])/(Table_BDD[[#This Row],[S / L]]-Table_BDD[[#This Row],[Lvl Entrée]]),1),IF(AND(Table_BDD[[#This Row],[Profit]]&gt;0,Table_BDD[[#This Row],[Type]]="buy"),ROUND((Table_BDD[[#This Row],[Lvl Sortie]]-Table_BDD[[#This Row],[Lvl Entrée]])/(Table_BDD[[#This Row],[Lvl Entrée]]-Table_BDD[[#This Row],[S / L]]),1),ROUND(Table_BDD[[#This Row],[Points]]/10,1)))))</f>
        <v>-1</v>
      </c>
      <c r="AA30" s="32">
        <f>IF(Table_BDD[[#This Row],[Position]]="",AA29,Table_BDD[[#This Row],[Equité après trade]]-Table_BDD[[#This Row],[Profit]]-Table_BDD[[#This Row],[Echange]])</f>
        <v>1002.6899999999999</v>
      </c>
      <c r="AB30" s="149">
        <f>$B$1+SUM($L$4:M30)</f>
        <v>998.04</v>
      </c>
      <c r="AC30" s="150">
        <f>IF(Table_BDD[[#This Row],[Position]]="","",_xlfn.MINIFS(Table_BDD[Horodatage ouverture],Table_BDD[Date],Table_BDD[Date]))</f>
        <v>43866.667986111112</v>
      </c>
      <c r="AD30" s="149">
        <f>VLOOKUP(_xlfn.MINIFS(Table_BDD[Horodatage ouverture],Table_BDD[Date],Table_BDD[Date]),Table_BDD[[Horodatage ouverture]:[Heure derniere valeur]],AA$2)</f>
        <v>1011.88</v>
      </c>
      <c r="AE30" s="149">
        <f>IF(VLOOKUP(_xlfn.MINIFS(Table_BDD[Horodatage ouverture],Table_BDD[Date],Table_BDD[Date]),Table_BDD[[Horodatage ouverture]:[Heure derniere valeur]],AA$2)=Table_BDD[[#This Row],[Equité avant trade]],VLOOKUP(_xlfn.MINIFS(Table_BDD[Horodatage ouverture],Table_BDD[Date],Table_BDD[Date]),Table_BDD[[Horodatage ouverture]:[Heure derniere valeur]],AA$2),0)</f>
        <v>0</v>
      </c>
      <c r="AF30" s="150">
        <f>IF(Table_BDD[[#This Row],[Position]]="","",_xlfn.MAXIFS(Table_BDD[Horodatage ouverture],Table_BDD[Date],Table_BDD[Date]))</f>
        <v>43866.695891203701</v>
      </c>
      <c r="AG30" s="32">
        <f>VLOOKUP(_xlfn.MAXIFS(Table_BDD[Horodatage cloture],Table_BDD[Date],Table_BDD[Date]),Table_BDD[[Horodatage ouverture]:[Heure derniere valeur]],AB$2)</f>
        <v>1017.63</v>
      </c>
      <c r="AH30" s="32">
        <f>IF(VLOOKUP(_xlfn.MAXIFS(Table_BDD[Horodatage cloture],Table_BDD[Date],Table_BDD[Date]),Table_BDD[[Horodatage ouverture]:[Heure derniere valeur]],AB$2)=Table_BDD[[#This Row],[Equité après trade]],VLOOKUP(_xlfn.MAXIFS(Table_BDD[Horodatage cloture],Table_BDD[Date],Table_BDD[Date]),Table_BDD[[Horodatage ouverture]:[Heure derniere valeur]],AB$2),0)</f>
        <v>0</v>
      </c>
      <c r="AI30" s="32" t="e">
        <f>IF(Table_BDD[[#This Row],[Valeur fin de journée unique]]=0,#N/A,Table_BDD[[#This Row],[Valeur fin de journée unique]])</f>
        <v>#N/A</v>
      </c>
      <c r="AJ30" s="35">
        <f>IF(Table_BDD[[#This Row],[Position]]="","",(Table_BDD[[#This Row],[Equité après trade]]-Table_BDD[[#This Row],[Equité avant trade]])/Table_BDD[[#This Row],[Equité avant trade]])</f>
        <v>-4.6375250575950468E-3</v>
      </c>
      <c r="AK30" s="35" t="str">
        <f>IFERROR(((INDEX(Table_BDD[[Trade n°]:[Valeur fin de journée unique]],Table_BDD[[#This Row],[Nb de trade du jour]]+Table_BDD[[#This Row],[Trade n°]]-1,21))-Table_BDD[[#This Row],[Valeur début de journée unique]])/Table_BDD[[#This Row],[Valeur début de journée unique]],"")</f>
        <v/>
      </c>
      <c r="AL30" s="32">
        <f>IF(Table_BDD[[#This Row],[Position]]="","",MAX(Table_BDD[[#This Row],[Cumul équité]],AL29))</f>
        <v>1019.44</v>
      </c>
      <c r="AM30" s="32">
        <f>IF(Table_BDD[[#This Row],[Position]]="","",MIN(Table_BDD[[#This Row],[Cumul équité]],AL29))</f>
        <v>998.04</v>
      </c>
      <c r="AN30" s="97">
        <f>IF(Table_BDD[[#This Row],[Sommet Drawdown]]&gt;AL29,"",Table_BDD[[#This Row],[Creux Drawdown]]/Table_BDD[[#This Row],[Sommet Drawdown]]-1)</f>
        <v>-2.0991917130973925E-2</v>
      </c>
      <c r="AO30" s="36">
        <f>IF(Table_BDD[[#This Row],[Position]]="","",IF(Table_BDD[[#This Row],[Type]]="buy",ROUND(Table_BDD[[#This Row],[Lvl Sortie]]-Table_BDD[[#This Row],[Lvl Entrée]],1),ROUND(Table_BDD[[#This Row],[Lvl Entrée]]-Table_BDD[[#This Row],[Lvl Sortie]],1)))</f>
        <v>-10.199999999999999</v>
      </c>
      <c r="AP30" s="36" t="str">
        <f>IF(Table_BDD[[#This Row],[Points]]&gt;0,Table_BDD[[#This Row],[Points]],"")</f>
        <v/>
      </c>
      <c r="AQ30" s="36">
        <f>IF(Table_BDD[[#This Row],[Points]]&lt;0,Table_BDD[[#This Row],[Points]],"")</f>
        <v>-10.199999999999999</v>
      </c>
      <c r="AR30" s="36">
        <f>SUM($AO$4:AO30)</f>
        <v>-4.1999999999999957</v>
      </c>
      <c r="AS30" s="68">
        <f>IF(Table_BDD[[#This Row],[Position]]="","",IF(Table_BDD[[#This Row],[Conformité]]="Conforme",1,0))</f>
        <v>0</v>
      </c>
      <c r="AT30" s="68">
        <f>IF(Table_BDD[[#This Row],[Position]]="","",IF(Table_BDD[[#This Row],[Conformité]]="Non conforme",1,0))</f>
        <v>1</v>
      </c>
      <c r="AU30" s="37" t="s">
        <v>17</v>
      </c>
      <c r="AV30" s="37"/>
      <c r="AW30" s="37"/>
      <c r="AX30" s="37">
        <v>0</v>
      </c>
      <c r="AY30" s="37">
        <v>0</v>
      </c>
      <c r="AZ30" s="37">
        <v>0</v>
      </c>
      <c r="BA30" s="37" t="str">
        <f>IF(Table_BDD[[#This Row],[Position]]="","Sans objet",IF(AND(Table_BDD[[#This Row],[Type]]="sell",Table_BDD[[#This Row],[S / L]]&lt;Table_BDD[[#This Row],[Lvl Entrée]],Table_BDD[[#This Row],[Lvl Sortie]]&lt;=Table_BDD[[#This Row],[S / L]]+2,Table_BDD[[#This Row],[Lvl Sortie]]&lt;Table_BDD[[#This Row],[Lvl Entrée]]-19),"Oui",IF(AND(Table_BDD[[#This Row],[Type]]="buy",Table_BDD[[#This Row],[S / L]]&gt;Table_BDD[[#This Row],[Lvl Entrée]],Table_BDD[[#This Row],[Lvl Sortie]]&gt;=Table_BDD[[#This Row],[S / L]]-2,Table_BDD[[#This Row],[S / L]]&gt;Table_BDD[[#This Row],[Lvl Entrée]]+19),"Oui","Non")))</f>
        <v>Non</v>
      </c>
      <c r="BB30" s="37" t="str">
        <f>IF(Table_BDD[[#This Row],[Position]]="","Sans objet",IF(AND(Table_BDD[[#This Row],[Type]]="sell",Table_BDD[[#This Row],[S / L]]&lt;Table_BDD[[#This Row],[Lvl Entrée]],Table_BDD[[#This Row],[Points]]&gt;=-1),"Oui",IF(AND(Table_BDD[[#This Row],[Type]]="sell",Table_BDD[[#This Row],[S / L]]&gt;Table_BDD[[#This Row],[Lvl Entrée]]),"Non",IF(AND(Table_BDD[[#This Row],[Type]]="buy",Table_BDD[[#This Row],[S / L]]&lt;Table_BDD[[#This Row],[Lvl Entrée]]),"Non",IF(AND(Table_BDD[[#This Row],[Type]]="buy",Table_BDD[[#This Row],[S / L]]&gt;Table_BDD[[#This Row],[Lvl Entrée]],Table_BDD[[#This Row],[Points]]&gt;=-1),"Oui")))))</f>
        <v>Non</v>
      </c>
      <c r="BC30" s="37" t="str">
        <f>IF(Table_BDD[[#This Row],[Position]]="","Sans objet",IF(Table_BDD[[#This Row],[T / P]]="","Non",IF(AND(Table_BDD[[#This Row],[Type]]="sell",Table_BDD[[#This Row],[Lvl Sortie]]&lt;=Table_BDD[[#This Row],[T / P]]),"Oui",IF(AND(Table_BDD[[#This Row],[Type]]="buy",Table_BDD[[#This Row],[Lvl Sortie]]&gt;=Table_BDD[[#This Row],[T / P]]),"Oui","Non"))))</f>
        <v>Non</v>
      </c>
      <c r="BD30" s="91">
        <f t="array" ref="BD30">IFERROR(INDEX(downloadFile[#All],MATCH(Table_BDD[[#This Row],[Date]],downloadFile[[#All],[Column1]],0),2),BD29)</f>
        <v>1.1023000000000001</v>
      </c>
      <c r="BE30" s="89">
        <f>IF(Table_BDD[[#This Row],[Position]]="","",IF(Table_BDD[[#This Row],[Symbole]]="UsaInd",(Table_BDD[[#This Row],[Volume]]*Table_BDD[[#This Row],[Lvl Entrée]])/(Table_BDD[[#This Row],[Equité avant trade]]*Table_BDD[[#This Row],[EUR/USD]]),IF(Table_BDD[[#This Row],[Symbole]]="Ger30",(Table_BDD[[#This Row],[Volume]]*Table_BDD[[#This Row],[Lvl Entrée]])/Table_BDD[[#This Row],[Equité avant trade]],)))</f>
        <v>13.180637706994023</v>
      </c>
      <c r="BF30" s="38">
        <f>IF(Table_BDD[[#This Row],[Position]]="","",IF(Table_BDD[[#This Row],[Conformité]]="Non conforme",0,(MROUND(3*((Table_BDD[[#This Row],[Conviction]]+Table_BDD[[#This Row],[Timing]]+Table_BDD[[#This Row],[Sortie]])+1)-2,1))))</f>
        <v>0</v>
      </c>
      <c r="BG30" s="38" t="str">
        <f>IF(Table_BDD[[#This Row],[Position]]="","",IF(Table_BDD[[#This Row],[Points]]&lt;-5,"--",IF(AND(Table_BDD[[#This Row],[Points]]&gt;=-5,Table_BDD[[#This Row],[Points]]&lt;-1.5),"-",IF(AND(Table_BDD[[#This Row],[Points]]&gt;=-1.5,Table_BDD[[#This Row],[Points]]&lt;1.5),"0",IF(AND(Table_BDD[[#This Row],[Points]]&gt;=1.5,Table_BDD[[#This Row],[Points]]&lt;=70),"+",IF(Table_BDD[[#This Row],[Points]]&gt;70,"++"))))))</f>
        <v>--</v>
      </c>
      <c r="BH30" s="37" t="str">
        <f>IF(Table_BDD[[#This Row],[Position]]="","",IF(Table_BDD[[#This Row],[Points]]&gt;0,"Gagnant",IF(Table_BDD[[#This Row],[Points]]=0,"Flat","Perdant")))</f>
        <v>Perdant</v>
      </c>
      <c r="BI30" s="40">
        <f>IF(Table_BDD[[#This Row],[Position]]="","",IF(Table_BDD[[#This Row],[Résultat]]="Gagnant",1,0))</f>
        <v>0</v>
      </c>
      <c r="BJ30" s="40">
        <f>IF(Table_BDD[[#This Row],[Position]]="","",IF(Table_BDD[[#This Row],[Résultat]]="Perdant",1,0))</f>
        <v>1</v>
      </c>
      <c r="BK30" s="40"/>
      <c r="BL30" s="145">
        <f>IF(Table_BDD[[#This Row],[T / P]]="","",Table_BDD[[#This Row],[T / P]])</f>
        <v>29186.2</v>
      </c>
      <c r="BM30" s="147"/>
      <c r="BN30" s="147"/>
      <c r="BO30" s="147"/>
      <c r="BP30" s="147"/>
      <c r="BQ30" s="127"/>
    </row>
    <row r="31" spans="1:69" x14ac:dyDescent="0.2">
      <c r="A31" s="93">
        <v>43866.66951388889</v>
      </c>
      <c r="B31" s="94">
        <v>259507367</v>
      </c>
      <c r="C31" s="37" t="s">
        <v>8</v>
      </c>
      <c r="D31" s="37" t="s">
        <v>9</v>
      </c>
      <c r="E31" s="37">
        <v>0.5</v>
      </c>
      <c r="F31" s="95">
        <v>29130.26</v>
      </c>
      <c r="G31" s="95">
        <v>29121.26</v>
      </c>
      <c r="H31" s="95">
        <v>29182.31</v>
      </c>
      <c r="I31" s="28">
        <v>43866.669583333336</v>
      </c>
      <c r="J31" s="95">
        <v>29121.09</v>
      </c>
      <c r="K31" s="95">
        <v>0</v>
      </c>
      <c r="L31" s="95">
        <v>0</v>
      </c>
      <c r="M31" s="32">
        <v>-4.17</v>
      </c>
      <c r="N31" s="148">
        <f>IF(Table_BDD[[#This Row],[Position]]="","",ROW()-3)</f>
        <v>28</v>
      </c>
      <c r="O31" s="32">
        <f>SUM($L$4:M31)</f>
        <v>-6.1299999999999981</v>
      </c>
      <c r="P31" s="32">
        <f>Table_BDD[[#This Row],[Equité avant trade]]+Table_BDD[[#This Row],[Profit]]+Table_BDD[[#This Row],[Echange]]</f>
        <v>993.87</v>
      </c>
      <c r="Q31" s="52">
        <f>INT(Table_BDD[[#This Row],[Horodatage cloture]])</f>
        <v>43866</v>
      </c>
      <c r="R31" s="34">
        <f>WEEKNUM(Table_BDD[[#This Row],[Horodatage cloture]],2)</f>
        <v>6</v>
      </c>
      <c r="S31" s="61">
        <f>WEEKDAY(Table_BDD[[#This Row],[Horodatage cloture]])</f>
        <v>4</v>
      </c>
      <c r="T31" s="63">
        <f>HOUR(Table_BDD[[#This Row],[Horodatage cloture]])</f>
        <v>16</v>
      </c>
      <c r="U31" s="68">
        <f>IF(Table_BDD[[#This Row],[Position]]="","",IF(Table_BDD[[#This Row],[Valeur début de journée unique]]&lt;&gt;0,1,0))</f>
        <v>0</v>
      </c>
      <c r="V31" s="68" t="str">
        <f>IF(Table_BDD[[#This Row],[Nb de séance de trading]]=1,COUNTIF(Table_BDD[Date],Table_BDD[[#This Row],[Date]]),"")</f>
        <v/>
      </c>
      <c r="W31" s="33">
        <f>IF(Table_BDD[[#This Row],[Position]]="","",IF(Table_BDD[[#This Row],[Type]]="buy",ROUND(Table_BDD[[#This Row],[Lvl Entrée]]-Table_BDD[[#This Row],[S / L]],1),ROUND(Table_BDD[[#This Row],[S / L]]-Table_BDD[[#This Row],[Lvl Entrée]],1)))</f>
        <v>9</v>
      </c>
      <c r="X31" s="33">
        <f>IF(Table_BDD[[#This Row],[Position]]="","",IF(Table_BDD[[#This Row],[T / P]]=0,200,IF(Table_BDD[[#This Row],[Type]]="buy",ROUND(Table_BDD[[#This Row],[T / P]]-Table_BDD[[#This Row],[Lvl Entrée]],1),ROUND(Table_BDD[[#This Row],[Lvl Entrée]]-Table_BDD[[#This Row],[T / P]],1))))</f>
        <v>52.1</v>
      </c>
      <c r="Y31" s="34">
        <f>IF(Table_BDD[[#This Row],[Position]]="","",IF(Table_BDD[[#This Row],[Ecart du SL]]&gt;0,ROUND(ABS(Table_BDD[[#This Row],[Ecart du TP]])/ABS(Table_BDD[[#This Row],[Ecart du SL]]),1),ROUND(ABS(Table_BDD[[#This Row],[Ecart du TP]])/10,1)))</f>
        <v>5.8</v>
      </c>
      <c r="Z31" s="34">
        <f>IF(Table_BDD[[#This Row],[Position]]="","",IF(Table_BDD[[#This Row],[Ecart du SL]]&lt;0,IF(AND(Table_BDD[[#This Row],[Profit]]&gt;0,Table_BDD[[#This Row],[Type]]="sell"),ROUND((Table_BDD[[#This Row],[Lvl Entrée]]-Table_BDD[[#This Row],[Lvl Sortie]])/(10),1),IF(AND(Table_BDD[[#This Row],[Profit]]&gt;0,Table_BDD[[#This Row],[Type]]="buy"),ROUND((Table_BDD[[#This Row],[Lvl Sortie]]-Table_BDD[[#This Row],[Lvl Entrée]])/(10),1),)),IF(AND(Table_BDD[[#This Row],[Profit]]&gt;0,Table_BDD[[#This Row],[Type]]="sell"),ROUND((Table_BDD[[#This Row],[Lvl Entrée]]-Table_BDD[[#This Row],[Lvl Sortie]])/(Table_BDD[[#This Row],[S / L]]-Table_BDD[[#This Row],[Lvl Entrée]]),1),IF(AND(Table_BDD[[#This Row],[Profit]]&gt;0,Table_BDD[[#This Row],[Type]]="buy"),ROUND((Table_BDD[[#This Row],[Lvl Sortie]]-Table_BDD[[#This Row],[Lvl Entrée]])/(Table_BDD[[#This Row],[Lvl Entrée]]-Table_BDD[[#This Row],[S / L]]),1),ROUND(Table_BDD[[#This Row],[Points]]/10,1)))))</f>
        <v>-0.9</v>
      </c>
      <c r="AA31" s="32">
        <f>IF(Table_BDD[[#This Row],[Position]]="",AA30,Table_BDD[[#This Row],[Equité après trade]]-Table_BDD[[#This Row],[Profit]]-Table_BDD[[#This Row],[Echange]])</f>
        <v>998.04</v>
      </c>
      <c r="AB31" s="149">
        <f>$B$1+SUM($L$4:M31)</f>
        <v>993.87</v>
      </c>
      <c r="AC31" s="150">
        <f>IF(Table_BDD[[#This Row],[Position]]="","",_xlfn.MINIFS(Table_BDD[Horodatage ouverture],Table_BDD[Date],Table_BDD[Date]))</f>
        <v>43866.667986111112</v>
      </c>
      <c r="AD31" s="149">
        <f>VLOOKUP(_xlfn.MINIFS(Table_BDD[Horodatage ouverture],Table_BDD[Date],Table_BDD[Date]),Table_BDD[[Horodatage ouverture]:[Heure derniere valeur]],AA$2)</f>
        <v>1011.88</v>
      </c>
      <c r="AE31" s="149">
        <f>IF(VLOOKUP(_xlfn.MINIFS(Table_BDD[Horodatage ouverture],Table_BDD[Date],Table_BDD[Date]),Table_BDD[[Horodatage ouverture]:[Heure derniere valeur]],AA$2)=Table_BDD[[#This Row],[Equité avant trade]],VLOOKUP(_xlfn.MINIFS(Table_BDD[Horodatage ouverture],Table_BDD[Date],Table_BDD[Date]),Table_BDD[[Horodatage ouverture]:[Heure derniere valeur]],AA$2),0)</f>
        <v>0</v>
      </c>
      <c r="AF31" s="150">
        <f>IF(Table_BDD[[#This Row],[Position]]="","",_xlfn.MAXIFS(Table_BDD[Horodatage ouverture],Table_BDD[Date],Table_BDD[Date]))</f>
        <v>43866.695891203701</v>
      </c>
      <c r="AG31" s="32">
        <f>VLOOKUP(_xlfn.MAXIFS(Table_BDD[Horodatage cloture],Table_BDD[Date],Table_BDD[Date]),Table_BDD[[Horodatage ouverture]:[Heure derniere valeur]],AB$2)</f>
        <v>1017.63</v>
      </c>
      <c r="AH31" s="32">
        <f>IF(VLOOKUP(_xlfn.MAXIFS(Table_BDD[Horodatage cloture],Table_BDD[Date],Table_BDD[Date]),Table_BDD[[Horodatage ouverture]:[Heure derniere valeur]],AB$2)=Table_BDD[[#This Row],[Equité après trade]],VLOOKUP(_xlfn.MAXIFS(Table_BDD[Horodatage cloture],Table_BDD[Date],Table_BDD[Date]),Table_BDD[[Horodatage ouverture]:[Heure derniere valeur]],AB$2),0)</f>
        <v>0</v>
      </c>
      <c r="AI31" s="32" t="e">
        <f>IF(Table_BDD[[#This Row],[Valeur fin de journée unique]]=0,#N/A,Table_BDD[[#This Row],[Valeur fin de journée unique]])</f>
        <v>#N/A</v>
      </c>
      <c r="AJ31" s="35">
        <f>IF(Table_BDD[[#This Row],[Position]]="","",(Table_BDD[[#This Row],[Equité après trade]]-Table_BDD[[#This Row],[Equité avant trade]])/Table_BDD[[#This Row],[Equité avant trade]])</f>
        <v>-4.1781892509317855E-3</v>
      </c>
      <c r="AK31" s="35" t="str">
        <f>IFERROR(((INDEX(Table_BDD[[Trade n°]:[Valeur fin de journée unique]],Table_BDD[[#This Row],[Nb de trade du jour]]+Table_BDD[[#This Row],[Trade n°]]-1,21))-Table_BDD[[#This Row],[Valeur début de journée unique]])/Table_BDD[[#This Row],[Valeur début de journée unique]],"")</f>
        <v/>
      </c>
      <c r="AL31" s="32">
        <f>IF(Table_BDD[[#This Row],[Position]]="","",MAX(Table_BDD[[#This Row],[Cumul équité]],AL30))</f>
        <v>1019.44</v>
      </c>
      <c r="AM31" s="32">
        <f>IF(Table_BDD[[#This Row],[Position]]="","",MIN(Table_BDD[[#This Row],[Cumul équité]],AL30))</f>
        <v>993.87</v>
      </c>
      <c r="AN31" s="97">
        <f>IF(Table_BDD[[#This Row],[Sommet Drawdown]]&gt;AL30,"",Table_BDD[[#This Row],[Creux Drawdown]]/Table_BDD[[#This Row],[Sommet Drawdown]]-1)</f>
        <v>-2.5082398179392618E-2</v>
      </c>
      <c r="AO31" s="36">
        <f>IF(Table_BDD[[#This Row],[Position]]="","",IF(Table_BDD[[#This Row],[Type]]="buy",ROUND(Table_BDD[[#This Row],[Lvl Sortie]]-Table_BDD[[#This Row],[Lvl Entrée]],1),ROUND(Table_BDD[[#This Row],[Lvl Entrée]]-Table_BDD[[#This Row],[Lvl Sortie]],1)))</f>
        <v>-9.1999999999999993</v>
      </c>
      <c r="AP31" s="36" t="str">
        <f>IF(Table_BDD[[#This Row],[Points]]&gt;0,Table_BDD[[#This Row],[Points]],"")</f>
        <v/>
      </c>
      <c r="AQ31" s="36">
        <f>IF(Table_BDD[[#This Row],[Points]]&lt;0,Table_BDD[[#This Row],[Points]],"")</f>
        <v>-9.1999999999999993</v>
      </c>
      <c r="AR31" s="36">
        <f>SUM($AO$4:AO31)</f>
        <v>-13.399999999999995</v>
      </c>
      <c r="AS31" s="68">
        <f>IF(Table_BDD[[#This Row],[Position]]="","",IF(Table_BDD[[#This Row],[Conformité]]="Conforme",1,0))</f>
        <v>0</v>
      </c>
      <c r="AT31" s="68">
        <f>IF(Table_BDD[[#This Row],[Position]]="","",IF(Table_BDD[[#This Row],[Conformité]]="Non conforme",1,0))</f>
        <v>1</v>
      </c>
      <c r="AU31" s="37" t="s">
        <v>17</v>
      </c>
      <c r="AV31" s="37"/>
      <c r="AW31" s="37"/>
      <c r="AX31" s="37">
        <v>0</v>
      </c>
      <c r="AY31" s="37">
        <v>0</v>
      </c>
      <c r="AZ31" s="37">
        <v>0</v>
      </c>
      <c r="BA31" s="37" t="str">
        <f>IF(Table_BDD[[#This Row],[Position]]="","Sans objet",IF(AND(Table_BDD[[#This Row],[Type]]="sell",Table_BDD[[#This Row],[S / L]]&lt;Table_BDD[[#This Row],[Lvl Entrée]],Table_BDD[[#This Row],[Lvl Sortie]]&lt;=Table_BDD[[#This Row],[S / L]]+2,Table_BDD[[#This Row],[Lvl Sortie]]&lt;Table_BDD[[#This Row],[Lvl Entrée]]-19),"Oui",IF(AND(Table_BDD[[#This Row],[Type]]="buy",Table_BDD[[#This Row],[S / L]]&gt;Table_BDD[[#This Row],[Lvl Entrée]],Table_BDD[[#This Row],[Lvl Sortie]]&gt;=Table_BDD[[#This Row],[S / L]]-2,Table_BDD[[#This Row],[S / L]]&gt;Table_BDD[[#This Row],[Lvl Entrée]]+19),"Oui","Non")))</f>
        <v>Non</v>
      </c>
      <c r="BB31" s="37" t="str">
        <f>IF(Table_BDD[[#This Row],[Position]]="","Sans objet",IF(AND(Table_BDD[[#This Row],[Type]]="sell",Table_BDD[[#This Row],[S / L]]&lt;Table_BDD[[#This Row],[Lvl Entrée]],Table_BDD[[#This Row],[Points]]&gt;=-1),"Oui",IF(AND(Table_BDD[[#This Row],[Type]]="sell",Table_BDD[[#This Row],[S / L]]&gt;Table_BDD[[#This Row],[Lvl Entrée]]),"Non",IF(AND(Table_BDD[[#This Row],[Type]]="buy",Table_BDD[[#This Row],[S / L]]&lt;Table_BDD[[#This Row],[Lvl Entrée]]),"Non",IF(AND(Table_BDD[[#This Row],[Type]]="buy",Table_BDD[[#This Row],[S / L]]&gt;Table_BDD[[#This Row],[Lvl Entrée]],Table_BDD[[#This Row],[Points]]&gt;=-1),"Oui")))))</f>
        <v>Non</v>
      </c>
      <c r="BC31" s="37" t="str">
        <f>IF(Table_BDD[[#This Row],[Position]]="","Sans objet",IF(Table_BDD[[#This Row],[T / P]]="","Non",IF(AND(Table_BDD[[#This Row],[Type]]="sell",Table_BDD[[#This Row],[Lvl Sortie]]&lt;=Table_BDD[[#This Row],[T / P]]),"Oui",IF(AND(Table_BDD[[#This Row],[Type]]="buy",Table_BDD[[#This Row],[Lvl Sortie]]&gt;=Table_BDD[[#This Row],[T / P]]),"Oui","Non"))))</f>
        <v>Non</v>
      </c>
      <c r="BD31" s="91">
        <f t="array" ref="BD31">IFERROR(INDEX(downloadFile[#All],MATCH(Table_BDD[[#This Row],[Date]],downloadFile[[#All],[Column1]],0),2),BD30)</f>
        <v>1.1023000000000001</v>
      </c>
      <c r="BE31" s="89">
        <f>IF(Table_BDD[[#This Row],[Position]]="","",IF(Table_BDD[[#This Row],[Symbole]]="UsaInd",(Table_BDD[[#This Row],[Volume]]*Table_BDD[[#This Row],[Lvl Entrée]])/(Table_BDD[[#This Row],[Equité avant trade]]*Table_BDD[[#This Row],[EUR/USD]]),IF(Table_BDD[[#This Row],[Symbole]]="Ger30",(Table_BDD[[#This Row],[Volume]]*Table_BDD[[#This Row],[Lvl Entrée]])/Table_BDD[[#This Row],[Equité avant trade]],)))</f>
        <v>13.23934837892357</v>
      </c>
      <c r="BF31" s="38">
        <f>IF(Table_BDD[[#This Row],[Position]]="","",IF(Table_BDD[[#This Row],[Conformité]]="Non conforme",0,(MROUND(3*((Table_BDD[[#This Row],[Conviction]]+Table_BDD[[#This Row],[Timing]]+Table_BDD[[#This Row],[Sortie]])+1)-2,1))))</f>
        <v>0</v>
      </c>
      <c r="BG31" s="38" t="str">
        <f>IF(Table_BDD[[#This Row],[Position]]="","",IF(Table_BDD[[#This Row],[Points]]&lt;-5,"--",IF(AND(Table_BDD[[#This Row],[Points]]&gt;=-5,Table_BDD[[#This Row],[Points]]&lt;-1.5),"-",IF(AND(Table_BDD[[#This Row],[Points]]&gt;=-1.5,Table_BDD[[#This Row],[Points]]&lt;1.5),"0",IF(AND(Table_BDD[[#This Row],[Points]]&gt;=1.5,Table_BDD[[#This Row],[Points]]&lt;=70),"+",IF(Table_BDD[[#This Row],[Points]]&gt;70,"++"))))))</f>
        <v>--</v>
      </c>
      <c r="BH31" s="37" t="str">
        <f>IF(Table_BDD[[#This Row],[Position]]="","",IF(Table_BDD[[#This Row],[Points]]&gt;0,"Gagnant",IF(Table_BDD[[#This Row],[Points]]=0,"Flat","Perdant")))</f>
        <v>Perdant</v>
      </c>
      <c r="BI31" s="40">
        <f>IF(Table_BDD[[#This Row],[Position]]="","",IF(Table_BDD[[#This Row],[Résultat]]="Gagnant",1,0))</f>
        <v>0</v>
      </c>
      <c r="BJ31" s="40">
        <f>IF(Table_BDD[[#This Row],[Position]]="","",IF(Table_BDD[[#This Row],[Résultat]]="Perdant",1,0))</f>
        <v>1</v>
      </c>
      <c r="BK31" s="40"/>
      <c r="BL31" s="145">
        <f>IF(Table_BDD[[#This Row],[T / P]]="","",Table_BDD[[#This Row],[T / P]])</f>
        <v>29182.31</v>
      </c>
      <c r="BM31" s="147"/>
      <c r="BN31" s="147"/>
      <c r="BO31" s="147"/>
      <c r="BP31" s="147"/>
      <c r="BQ31" s="127"/>
    </row>
    <row r="32" spans="1:69" x14ac:dyDescent="0.2">
      <c r="A32" s="93">
        <v>43866.669803240744</v>
      </c>
      <c r="B32" s="94">
        <v>259507398</v>
      </c>
      <c r="C32" s="37" t="s">
        <v>8</v>
      </c>
      <c r="D32" s="37" t="s">
        <v>9</v>
      </c>
      <c r="E32" s="37">
        <v>0.5</v>
      </c>
      <c r="F32" s="95">
        <v>29119.18</v>
      </c>
      <c r="G32" s="95">
        <v>29110.13</v>
      </c>
      <c r="H32" s="95">
        <v>29269.18</v>
      </c>
      <c r="I32" s="28">
        <v>43866.672361111108</v>
      </c>
      <c r="J32" s="95">
        <v>29109.01</v>
      </c>
      <c r="K32" s="95">
        <v>0</v>
      </c>
      <c r="L32" s="95">
        <v>0</v>
      </c>
      <c r="M32" s="32">
        <v>-4.63</v>
      </c>
      <c r="N32" s="148">
        <f>IF(Table_BDD[[#This Row],[Position]]="","",ROW()-3)</f>
        <v>29</v>
      </c>
      <c r="O32" s="32">
        <f>SUM($L$4:M32)</f>
        <v>-10.759999999999998</v>
      </c>
      <c r="P32" s="32">
        <f>Table_BDD[[#This Row],[Equité avant trade]]+Table_BDD[[#This Row],[Profit]]+Table_BDD[[#This Row],[Echange]]</f>
        <v>989.24</v>
      </c>
      <c r="Q32" s="52">
        <f>INT(Table_BDD[[#This Row],[Horodatage cloture]])</f>
        <v>43866</v>
      </c>
      <c r="R32" s="34">
        <f>WEEKNUM(Table_BDD[[#This Row],[Horodatage cloture]],2)</f>
        <v>6</v>
      </c>
      <c r="S32" s="61">
        <f>WEEKDAY(Table_BDD[[#This Row],[Horodatage cloture]])</f>
        <v>4</v>
      </c>
      <c r="T32" s="63">
        <f>HOUR(Table_BDD[[#This Row],[Horodatage cloture]])</f>
        <v>16</v>
      </c>
      <c r="U32" s="68">
        <f>IF(Table_BDD[[#This Row],[Position]]="","",IF(Table_BDD[[#This Row],[Valeur début de journée unique]]&lt;&gt;0,1,0))</f>
        <v>0</v>
      </c>
      <c r="V32" s="68" t="str">
        <f>IF(Table_BDD[[#This Row],[Nb de séance de trading]]=1,COUNTIF(Table_BDD[Date],Table_BDD[[#This Row],[Date]]),"")</f>
        <v/>
      </c>
      <c r="W32" s="33">
        <f>IF(Table_BDD[[#This Row],[Position]]="","",IF(Table_BDD[[#This Row],[Type]]="buy",ROUND(Table_BDD[[#This Row],[Lvl Entrée]]-Table_BDD[[#This Row],[S / L]],1),ROUND(Table_BDD[[#This Row],[S / L]]-Table_BDD[[#This Row],[Lvl Entrée]],1)))</f>
        <v>9</v>
      </c>
      <c r="X32" s="33">
        <f>IF(Table_BDD[[#This Row],[Position]]="","",IF(Table_BDD[[#This Row],[T / P]]=0,200,IF(Table_BDD[[#This Row],[Type]]="buy",ROUND(Table_BDD[[#This Row],[T / P]]-Table_BDD[[#This Row],[Lvl Entrée]],1),ROUND(Table_BDD[[#This Row],[Lvl Entrée]]-Table_BDD[[#This Row],[T / P]],1))))</f>
        <v>150</v>
      </c>
      <c r="Y32" s="34">
        <f>IF(Table_BDD[[#This Row],[Position]]="","",IF(Table_BDD[[#This Row],[Ecart du SL]]&gt;0,ROUND(ABS(Table_BDD[[#This Row],[Ecart du TP]])/ABS(Table_BDD[[#This Row],[Ecart du SL]]),1),ROUND(ABS(Table_BDD[[#This Row],[Ecart du TP]])/10,1)))</f>
        <v>16.7</v>
      </c>
      <c r="Z32" s="34">
        <f>IF(Table_BDD[[#This Row],[Position]]="","",IF(Table_BDD[[#This Row],[Ecart du SL]]&lt;0,IF(AND(Table_BDD[[#This Row],[Profit]]&gt;0,Table_BDD[[#This Row],[Type]]="sell"),ROUND((Table_BDD[[#This Row],[Lvl Entrée]]-Table_BDD[[#This Row],[Lvl Sortie]])/(10),1),IF(AND(Table_BDD[[#This Row],[Profit]]&gt;0,Table_BDD[[#This Row],[Type]]="buy"),ROUND((Table_BDD[[#This Row],[Lvl Sortie]]-Table_BDD[[#This Row],[Lvl Entrée]])/(10),1),)),IF(AND(Table_BDD[[#This Row],[Profit]]&gt;0,Table_BDD[[#This Row],[Type]]="sell"),ROUND((Table_BDD[[#This Row],[Lvl Entrée]]-Table_BDD[[#This Row],[Lvl Sortie]])/(Table_BDD[[#This Row],[S / L]]-Table_BDD[[#This Row],[Lvl Entrée]]),1),IF(AND(Table_BDD[[#This Row],[Profit]]&gt;0,Table_BDD[[#This Row],[Type]]="buy"),ROUND((Table_BDD[[#This Row],[Lvl Sortie]]-Table_BDD[[#This Row],[Lvl Entrée]])/(Table_BDD[[#This Row],[Lvl Entrée]]-Table_BDD[[#This Row],[S / L]]),1),ROUND(Table_BDD[[#This Row],[Points]]/10,1)))))</f>
        <v>-1</v>
      </c>
      <c r="AA32" s="32">
        <f>IF(Table_BDD[[#This Row],[Position]]="",AA31,Table_BDD[[#This Row],[Equité après trade]]-Table_BDD[[#This Row],[Profit]]-Table_BDD[[#This Row],[Echange]])</f>
        <v>993.87</v>
      </c>
      <c r="AB32" s="149">
        <f>$B$1+SUM($L$4:M32)</f>
        <v>989.24</v>
      </c>
      <c r="AC32" s="150">
        <f>IF(Table_BDD[[#This Row],[Position]]="","",_xlfn.MINIFS(Table_BDD[Horodatage ouverture],Table_BDD[Date],Table_BDD[Date]))</f>
        <v>43866.667986111112</v>
      </c>
      <c r="AD32" s="149">
        <f>VLOOKUP(_xlfn.MINIFS(Table_BDD[Horodatage ouverture],Table_BDD[Date],Table_BDD[Date]),Table_BDD[[Horodatage ouverture]:[Heure derniere valeur]],AA$2)</f>
        <v>1011.88</v>
      </c>
      <c r="AE32" s="149">
        <f>IF(VLOOKUP(_xlfn.MINIFS(Table_BDD[Horodatage ouverture],Table_BDD[Date],Table_BDD[Date]),Table_BDD[[Horodatage ouverture]:[Heure derniere valeur]],AA$2)=Table_BDD[[#This Row],[Equité avant trade]],VLOOKUP(_xlfn.MINIFS(Table_BDD[Horodatage ouverture],Table_BDD[Date],Table_BDD[Date]),Table_BDD[[Horodatage ouverture]:[Heure derniere valeur]],AA$2),0)</f>
        <v>0</v>
      </c>
      <c r="AF32" s="150">
        <f>IF(Table_BDD[[#This Row],[Position]]="","",_xlfn.MAXIFS(Table_BDD[Horodatage ouverture],Table_BDD[Date],Table_BDD[Date]))</f>
        <v>43866.695891203701</v>
      </c>
      <c r="AG32" s="32">
        <f>VLOOKUP(_xlfn.MAXIFS(Table_BDD[Horodatage cloture],Table_BDD[Date],Table_BDD[Date]),Table_BDD[[Horodatage ouverture]:[Heure derniere valeur]],AB$2)</f>
        <v>1017.63</v>
      </c>
      <c r="AH32" s="32">
        <f>IF(VLOOKUP(_xlfn.MAXIFS(Table_BDD[Horodatage cloture],Table_BDD[Date],Table_BDD[Date]),Table_BDD[[Horodatage ouverture]:[Heure derniere valeur]],AB$2)=Table_BDD[[#This Row],[Equité après trade]],VLOOKUP(_xlfn.MAXIFS(Table_BDD[Horodatage cloture],Table_BDD[Date],Table_BDD[Date]),Table_BDD[[Horodatage ouverture]:[Heure derniere valeur]],AB$2),0)</f>
        <v>0</v>
      </c>
      <c r="AI32" s="32" t="e">
        <f>IF(Table_BDD[[#This Row],[Valeur fin de journée unique]]=0,#N/A,Table_BDD[[#This Row],[Valeur fin de journée unique]])</f>
        <v>#N/A</v>
      </c>
      <c r="AJ32" s="35">
        <f>IF(Table_BDD[[#This Row],[Position]]="","",(Table_BDD[[#This Row],[Equité après trade]]-Table_BDD[[#This Row],[Equité avant trade]])/Table_BDD[[#This Row],[Equité avant trade]])</f>
        <v>-4.6585569541288049E-3</v>
      </c>
      <c r="AK32" s="35" t="str">
        <f>IFERROR(((INDEX(Table_BDD[[Trade n°]:[Valeur fin de journée unique]],Table_BDD[[#This Row],[Nb de trade du jour]]+Table_BDD[[#This Row],[Trade n°]]-1,21))-Table_BDD[[#This Row],[Valeur début de journée unique]])/Table_BDD[[#This Row],[Valeur début de journée unique]],"")</f>
        <v/>
      </c>
      <c r="AL32" s="32">
        <f>IF(Table_BDD[[#This Row],[Position]]="","",MAX(Table_BDD[[#This Row],[Cumul équité]],AL31))</f>
        <v>1019.44</v>
      </c>
      <c r="AM32" s="32">
        <f>IF(Table_BDD[[#This Row],[Position]]="","",MIN(Table_BDD[[#This Row],[Cumul équité]],AL31))</f>
        <v>989.24</v>
      </c>
      <c r="AN32" s="97">
        <f>IF(Table_BDD[[#This Row],[Sommet Drawdown]]&gt;AL31,"",Table_BDD[[#This Row],[Creux Drawdown]]/Table_BDD[[#This Row],[Sommet Drawdown]]-1)</f>
        <v>-2.962410735305665E-2</v>
      </c>
      <c r="AO32" s="36">
        <f>IF(Table_BDD[[#This Row],[Position]]="","",IF(Table_BDD[[#This Row],[Type]]="buy",ROUND(Table_BDD[[#This Row],[Lvl Sortie]]-Table_BDD[[#This Row],[Lvl Entrée]],1),ROUND(Table_BDD[[#This Row],[Lvl Entrée]]-Table_BDD[[#This Row],[Lvl Sortie]],1)))</f>
        <v>-10.199999999999999</v>
      </c>
      <c r="AP32" s="36" t="str">
        <f>IF(Table_BDD[[#This Row],[Points]]&gt;0,Table_BDD[[#This Row],[Points]],"")</f>
        <v/>
      </c>
      <c r="AQ32" s="36">
        <f>IF(Table_BDD[[#This Row],[Points]]&lt;0,Table_BDD[[#This Row],[Points]],"")</f>
        <v>-10.199999999999999</v>
      </c>
      <c r="AR32" s="36">
        <f>SUM($AO$4:AO32)</f>
        <v>-23.599999999999994</v>
      </c>
      <c r="AS32" s="68">
        <f>IF(Table_BDD[[#This Row],[Position]]="","",IF(Table_BDD[[#This Row],[Conformité]]="Conforme",1,0))</f>
        <v>0</v>
      </c>
      <c r="AT32" s="68">
        <f>IF(Table_BDD[[#This Row],[Position]]="","",IF(Table_BDD[[#This Row],[Conformité]]="Non conforme",1,0))</f>
        <v>1</v>
      </c>
      <c r="AU32" s="37" t="s">
        <v>17</v>
      </c>
      <c r="AV32" s="37"/>
      <c r="AW32" s="37"/>
      <c r="AX32" s="37">
        <v>0</v>
      </c>
      <c r="AY32" s="37">
        <v>0</v>
      </c>
      <c r="AZ32" s="37">
        <v>0</v>
      </c>
      <c r="BA32" s="37" t="str">
        <f>IF(Table_BDD[[#This Row],[Position]]="","Sans objet",IF(AND(Table_BDD[[#This Row],[Type]]="sell",Table_BDD[[#This Row],[S / L]]&lt;Table_BDD[[#This Row],[Lvl Entrée]],Table_BDD[[#This Row],[Lvl Sortie]]&lt;=Table_BDD[[#This Row],[S / L]]+2,Table_BDD[[#This Row],[Lvl Sortie]]&lt;Table_BDD[[#This Row],[Lvl Entrée]]-19),"Oui",IF(AND(Table_BDD[[#This Row],[Type]]="buy",Table_BDD[[#This Row],[S / L]]&gt;Table_BDD[[#This Row],[Lvl Entrée]],Table_BDD[[#This Row],[Lvl Sortie]]&gt;=Table_BDD[[#This Row],[S / L]]-2,Table_BDD[[#This Row],[S / L]]&gt;Table_BDD[[#This Row],[Lvl Entrée]]+19),"Oui","Non")))</f>
        <v>Non</v>
      </c>
      <c r="BB32" s="37" t="str">
        <f>IF(Table_BDD[[#This Row],[Position]]="","Sans objet",IF(AND(Table_BDD[[#This Row],[Type]]="sell",Table_BDD[[#This Row],[S / L]]&lt;Table_BDD[[#This Row],[Lvl Entrée]],Table_BDD[[#This Row],[Points]]&gt;=-1),"Oui",IF(AND(Table_BDD[[#This Row],[Type]]="sell",Table_BDD[[#This Row],[S / L]]&gt;Table_BDD[[#This Row],[Lvl Entrée]]),"Non",IF(AND(Table_BDD[[#This Row],[Type]]="buy",Table_BDD[[#This Row],[S / L]]&lt;Table_BDD[[#This Row],[Lvl Entrée]]),"Non",IF(AND(Table_BDD[[#This Row],[Type]]="buy",Table_BDD[[#This Row],[S / L]]&gt;Table_BDD[[#This Row],[Lvl Entrée]],Table_BDD[[#This Row],[Points]]&gt;=-1),"Oui")))))</f>
        <v>Non</v>
      </c>
      <c r="BC32" s="37" t="str">
        <f>IF(Table_BDD[[#This Row],[Position]]="","Sans objet",IF(Table_BDD[[#This Row],[T / P]]="","Non",IF(AND(Table_BDD[[#This Row],[Type]]="sell",Table_BDD[[#This Row],[Lvl Sortie]]&lt;=Table_BDD[[#This Row],[T / P]]),"Oui",IF(AND(Table_BDD[[#This Row],[Type]]="buy",Table_BDD[[#This Row],[Lvl Sortie]]&gt;=Table_BDD[[#This Row],[T / P]]),"Oui","Non"))))</f>
        <v>Non</v>
      </c>
      <c r="BD32" s="91">
        <f t="array" ref="BD32">IFERROR(INDEX(downloadFile[#All],MATCH(Table_BDD[[#This Row],[Date]],downloadFile[[#All],[Column1]],0),2),BD31)</f>
        <v>1.1023000000000001</v>
      </c>
      <c r="BE32" s="89">
        <f>IF(Table_BDD[[#This Row],[Position]]="","",IF(Table_BDD[[#This Row],[Symbole]]="UsaInd",(Table_BDD[[#This Row],[Volume]]*Table_BDD[[#This Row],[Lvl Entrée]])/(Table_BDD[[#This Row],[Equité avant trade]]*Table_BDD[[#This Row],[EUR/USD]]),IF(Table_BDD[[#This Row],[Symbole]]="Ger30",(Table_BDD[[#This Row],[Volume]]*Table_BDD[[#This Row],[Lvl Entrée]])/Table_BDD[[#This Row],[Equité avant trade]],)))</f>
        <v>13.289840121012293</v>
      </c>
      <c r="BF32" s="38">
        <f>IF(Table_BDD[[#This Row],[Position]]="","",IF(Table_BDD[[#This Row],[Conformité]]="Non conforme",0,(MROUND(3*((Table_BDD[[#This Row],[Conviction]]+Table_BDD[[#This Row],[Timing]]+Table_BDD[[#This Row],[Sortie]])+1)-2,1))))</f>
        <v>0</v>
      </c>
      <c r="BG32" s="38" t="str">
        <f>IF(Table_BDD[[#This Row],[Position]]="","",IF(Table_BDD[[#This Row],[Points]]&lt;-5,"--",IF(AND(Table_BDD[[#This Row],[Points]]&gt;=-5,Table_BDD[[#This Row],[Points]]&lt;-1.5),"-",IF(AND(Table_BDD[[#This Row],[Points]]&gt;=-1.5,Table_BDD[[#This Row],[Points]]&lt;1.5),"0",IF(AND(Table_BDD[[#This Row],[Points]]&gt;=1.5,Table_BDD[[#This Row],[Points]]&lt;=70),"+",IF(Table_BDD[[#This Row],[Points]]&gt;70,"++"))))))</f>
        <v>--</v>
      </c>
      <c r="BH32" s="37" t="str">
        <f>IF(Table_BDD[[#This Row],[Position]]="","",IF(Table_BDD[[#This Row],[Points]]&gt;0,"Gagnant",IF(Table_BDD[[#This Row],[Points]]=0,"Flat","Perdant")))</f>
        <v>Perdant</v>
      </c>
      <c r="BI32" s="40">
        <f>IF(Table_BDD[[#This Row],[Position]]="","",IF(Table_BDD[[#This Row],[Résultat]]="Gagnant",1,0))</f>
        <v>0</v>
      </c>
      <c r="BJ32" s="40">
        <f>IF(Table_BDD[[#This Row],[Position]]="","",IF(Table_BDD[[#This Row],[Résultat]]="Perdant",1,0))</f>
        <v>1</v>
      </c>
      <c r="BK32" s="40"/>
      <c r="BL32" s="145">
        <f>IF(Table_BDD[[#This Row],[T / P]]="","",Table_BDD[[#This Row],[T / P]])</f>
        <v>29269.18</v>
      </c>
      <c r="BM32" s="147"/>
      <c r="BN32" s="147"/>
      <c r="BO32" s="147"/>
      <c r="BP32" s="147"/>
      <c r="BQ32" s="127"/>
    </row>
    <row r="33" spans="1:69" x14ac:dyDescent="0.2">
      <c r="A33" s="93">
        <v>43866.672395833331</v>
      </c>
      <c r="B33" s="94">
        <v>259507810</v>
      </c>
      <c r="C33" s="37" t="s">
        <v>8</v>
      </c>
      <c r="D33" s="37" t="s">
        <v>9</v>
      </c>
      <c r="E33" s="37">
        <v>0.5</v>
      </c>
      <c r="F33" s="95">
        <v>29109.16</v>
      </c>
      <c r="G33" s="95">
        <v>29100.02</v>
      </c>
      <c r="H33" s="95">
        <v>29275.17</v>
      </c>
      <c r="I33" s="28">
        <v>43866.673530092594</v>
      </c>
      <c r="J33" s="95">
        <v>29100.02</v>
      </c>
      <c r="K33" s="95">
        <v>0</v>
      </c>
      <c r="L33" s="95">
        <v>0</v>
      </c>
      <c r="M33" s="32">
        <v>-4.1500000000000004</v>
      </c>
      <c r="N33" s="148">
        <f>IF(Table_BDD[[#This Row],[Position]]="","",ROW()-3)</f>
        <v>30</v>
      </c>
      <c r="O33" s="32">
        <f>SUM($L$4:M33)</f>
        <v>-14.909999999999998</v>
      </c>
      <c r="P33" s="32">
        <f>Table_BDD[[#This Row],[Equité avant trade]]+Table_BDD[[#This Row],[Profit]]+Table_BDD[[#This Row],[Echange]]</f>
        <v>985.09</v>
      </c>
      <c r="Q33" s="52">
        <f>INT(Table_BDD[[#This Row],[Horodatage cloture]])</f>
        <v>43866</v>
      </c>
      <c r="R33" s="34">
        <f>WEEKNUM(Table_BDD[[#This Row],[Horodatage cloture]],2)</f>
        <v>6</v>
      </c>
      <c r="S33" s="61">
        <f>WEEKDAY(Table_BDD[[#This Row],[Horodatage cloture]])</f>
        <v>4</v>
      </c>
      <c r="T33" s="63">
        <f>HOUR(Table_BDD[[#This Row],[Horodatage cloture]])</f>
        <v>16</v>
      </c>
      <c r="U33" s="68">
        <f>IF(Table_BDD[[#This Row],[Position]]="","",IF(Table_BDD[[#This Row],[Valeur début de journée unique]]&lt;&gt;0,1,0))</f>
        <v>0</v>
      </c>
      <c r="V33" s="68" t="str">
        <f>IF(Table_BDD[[#This Row],[Nb de séance de trading]]=1,COUNTIF(Table_BDD[Date],Table_BDD[[#This Row],[Date]]),"")</f>
        <v/>
      </c>
      <c r="W33" s="33">
        <f>IF(Table_BDD[[#This Row],[Position]]="","",IF(Table_BDD[[#This Row],[Type]]="buy",ROUND(Table_BDD[[#This Row],[Lvl Entrée]]-Table_BDD[[#This Row],[S / L]],1),ROUND(Table_BDD[[#This Row],[S / L]]-Table_BDD[[#This Row],[Lvl Entrée]],1)))</f>
        <v>9.1</v>
      </c>
      <c r="X33" s="33">
        <f>IF(Table_BDD[[#This Row],[Position]]="","",IF(Table_BDD[[#This Row],[T / P]]=0,200,IF(Table_BDD[[#This Row],[Type]]="buy",ROUND(Table_BDD[[#This Row],[T / P]]-Table_BDD[[#This Row],[Lvl Entrée]],1),ROUND(Table_BDD[[#This Row],[Lvl Entrée]]-Table_BDD[[#This Row],[T / P]],1))))</f>
        <v>166</v>
      </c>
      <c r="Y33" s="34">
        <f>IF(Table_BDD[[#This Row],[Position]]="","",IF(Table_BDD[[#This Row],[Ecart du SL]]&gt;0,ROUND(ABS(Table_BDD[[#This Row],[Ecart du TP]])/ABS(Table_BDD[[#This Row],[Ecart du SL]]),1),ROUND(ABS(Table_BDD[[#This Row],[Ecart du TP]])/10,1)))</f>
        <v>18.2</v>
      </c>
      <c r="Z33" s="34">
        <f>IF(Table_BDD[[#This Row],[Position]]="","",IF(Table_BDD[[#This Row],[Ecart du SL]]&lt;0,IF(AND(Table_BDD[[#This Row],[Profit]]&gt;0,Table_BDD[[#This Row],[Type]]="sell"),ROUND((Table_BDD[[#This Row],[Lvl Entrée]]-Table_BDD[[#This Row],[Lvl Sortie]])/(10),1),IF(AND(Table_BDD[[#This Row],[Profit]]&gt;0,Table_BDD[[#This Row],[Type]]="buy"),ROUND((Table_BDD[[#This Row],[Lvl Sortie]]-Table_BDD[[#This Row],[Lvl Entrée]])/(10),1),)),IF(AND(Table_BDD[[#This Row],[Profit]]&gt;0,Table_BDD[[#This Row],[Type]]="sell"),ROUND((Table_BDD[[#This Row],[Lvl Entrée]]-Table_BDD[[#This Row],[Lvl Sortie]])/(Table_BDD[[#This Row],[S / L]]-Table_BDD[[#This Row],[Lvl Entrée]]),1),IF(AND(Table_BDD[[#This Row],[Profit]]&gt;0,Table_BDD[[#This Row],[Type]]="buy"),ROUND((Table_BDD[[#This Row],[Lvl Sortie]]-Table_BDD[[#This Row],[Lvl Entrée]])/(Table_BDD[[#This Row],[Lvl Entrée]]-Table_BDD[[#This Row],[S / L]]),1),ROUND(Table_BDD[[#This Row],[Points]]/10,1)))))</f>
        <v>-0.9</v>
      </c>
      <c r="AA33" s="32">
        <f>IF(Table_BDD[[#This Row],[Position]]="",AA32,Table_BDD[[#This Row],[Equité après trade]]-Table_BDD[[#This Row],[Profit]]-Table_BDD[[#This Row],[Echange]])</f>
        <v>989.24</v>
      </c>
      <c r="AB33" s="149">
        <f>$B$1+SUM($L$4:M33)</f>
        <v>985.09</v>
      </c>
      <c r="AC33" s="150">
        <f>IF(Table_BDD[[#This Row],[Position]]="","",_xlfn.MINIFS(Table_BDD[Horodatage ouverture],Table_BDD[Date],Table_BDD[Date]))</f>
        <v>43866.667986111112</v>
      </c>
      <c r="AD33" s="149">
        <f>VLOOKUP(_xlfn.MINIFS(Table_BDD[Horodatage ouverture],Table_BDD[Date],Table_BDD[Date]),Table_BDD[[Horodatage ouverture]:[Heure derniere valeur]],AA$2)</f>
        <v>1011.88</v>
      </c>
      <c r="AE33" s="149">
        <f>IF(VLOOKUP(_xlfn.MINIFS(Table_BDD[Horodatage ouverture],Table_BDD[Date],Table_BDD[Date]),Table_BDD[[Horodatage ouverture]:[Heure derniere valeur]],AA$2)=Table_BDD[[#This Row],[Equité avant trade]],VLOOKUP(_xlfn.MINIFS(Table_BDD[Horodatage ouverture],Table_BDD[Date],Table_BDD[Date]),Table_BDD[[Horodatage ouverture]:[Heure derniere valeur]],AA$2),0)</f>
        <v>0</v>
      </c>
      <c r="AF33" s="150">
        <f>IF(Table_BDD[[#This Row],[Position]]="","",_xlfn.MAXIFS(Table_BDD[Horodatage ouverture],Table_BDD[Date],Table_BDD[Date]))</f>
        <v>43866.695891203701</v>
      </c>
      <c r="AG33" s="32">
        <f>VLOOKUP(_xlfn.MAXIFS(Table_BDD[Horodatage cloture],Table_BDD[Date],Table_BDD[Date]),Table_BDD[[Horodatage ouverture]:[Heure derniere valeur]],AB$2)</f>
        <v>1017.63</v>
      </c>
      <c r="AH33" s="32">
        <f>IF(VLOOKUP(_xlfn.MAXIFS(Table_BDD[Horodatage cloture],Table_BDD[Date],Table_BDD[Date]),Table_BDD[[Horodatage ouverture]:[Heure derniere valeur]],AB$2)=Table_BDD[[#This Row],[Equité après trade]],VLOOKUP(_xlfn.MAXIFS(Table_BDD[Horodatage cloture],Table_BDD[Date],Table_BDD[Date]),Table_BDD[[Horodatage ouverture]:[Heure derniere valeur]],AB$2),0)</f>
        <v>0</v>
      </c>
      <c r="AI33" s="32" t="e">
        <f>IF(Table_BDD[[#This Row],[Valeur fin de journée unique]]=0,#N/A,Table_BDD[[#This Row],[Valeur fin de journée unique]])</f>
        <v>#N/A</v>
      </c>
      <c r="AJ33" s="35">
        <f>IF(Table_BDD[[#This Row],[Position]]="","",(Table_BDD[[#This Row],[Equité après trade]]-Table_BDD[[#This Row],[Equité avant trade]])/Table_BDD[[#This Row],[Equité avant trade]])</f>
        <v>-4.1951397032064788E-3</v>
      </c>
      <c r="AK33" s="35" t="str">
        <f>IFERROR(((INDEX(Table_BDD[[Trade n°]:[Valeur fin de journée unique]],Table_BDD[[#This Row],[Nb de trade du jour]]+Table_BDD[[#This Row],[Trade n°]]-1,21))-Table_BDD[[#This Row],[Valeur début de journée unique]])/Table_BDD[[#This Row],[Valeur début de journée unique]],"")</f>
        <v/>
      </c>
      <c r="AL33" s="32">
        <f>IF(Table_BDD[[#This Row],[Position]]="","",MAX(Table_BDD[[#This Row],[Cumul équité]],AL32))</f>
        <v>1019.44</v>
      </c>
      <c r="AM33" s="32">
        <f>IF(Table_BDD[[#This Row],[Position]]="","",MIN(Table_BDD[[#This Row],[Cumul équité]],AL32))</f>
        <v>985.09</v>
      </c>
      <c r="AN33" s="97">
        <f>IF(Table_BDD[[#This Row],[Sommet Drawdown]]&gt;AL32,"",Table_BDD[[#This Row],[Creux Drawdown]]/Table_BDD[[#This Row],[Sommet Drawdown]]-1)</f>
        <v>-3.3694969787334217E-2</v>
      </c>
      <c r="AO33" s="36">
        <f>IF(Table_BDD[[#This Row],[Position]]="","",IF(Table_BDD[[#This Row],[Type]]="buy",ROUND(Table_BDD[[#This Row],[Lvl Sortie]]-Table_BDD[[#This Row],[Lvl Entrée]],1),ROUND(Table_BDD[[#This Row],[Lvl Entrée]]-Table_BDD[[#This Row],[Lvl Sortie]],1)))</f>
        <v>-9.1</v>
      </c>
      <c r="AP33" s="36" t="str">
        <f>IF(Table_BDD[[#This Row],[Points]]&gt;0,Table_BDD[[#This Row],[Points]],"")</f>
        <v/>
      </c>
      <c r="AQ33" s="36">
        <f>IF(Table_BDD[[#This Row],[Points]]&lt;0,Table_BDD[[#This Row],[Points]],"")</f>
        <v>-9.1</v>
      </c>
      <c r="AR33" s="36">
        <f>SUM($AO$4:AO33)</f>
        <v>-32.699999999999996</v>
      </c>
      <c r="AS33" s="68">
        <f>IF(Table_BDD[[#This Row],[Position]]="","",IF(Table_BDD[[#This Row],[Conformité]]="Conforme",1,0))</f>
        <v>0</v>
      </c>
      <c r="AT33" s="68">
        <f>IF(Table_BDD[[#This Row],[Position]]="","",IF(Table_BDD[[#This Row],[Conformité]]="Non conforme",1,0))</f>
        <v>1</v>
      </c>
      <c r="AU33" s="37" t="s">
        <v>17</v>
      </c>
      <c r="AV33" s="37"/>
      <c r="AW33" s="37"/>
      <c r="AX33" s="37">
        <v>0</v>
      </c>
      <c r="AY33" s="37">
        <v>0</v>
      </c>
      <c r="AZ33" s="37">
        <v>0</v>
      </c>
      <c r="BA33" s="37" t="str">
        <f>IF(Table_BDD[[#This Row],[Position]]="","Sans objet",IF(AND(Table_BDD[[#This Row],[Type]]="sell",Table_BDD[[#This Row],[S / L]]&lt;Table_BDD[[#This Row],[Lvl Entrée]],Table_BDD[[#This Row],[Lvl Sortie]]&lt;=Table_BDD[[#This Row],[S / L]]+2,Table_BDD[[#This Row],[Lvl Sortie]]&lt;Table_BDD[[#This Row],[Lvl Entrée]]-19),"Oui",IF(AND(Table_BDD[[#This Row],[Type]]="buy",Table_BDD[[#This Row],[S / L]]&gt;Table_BDD[[#This Row],[Lvl Entrée]],Table_BDD[[#This Row],[Lvl Sortie]]&gt;=Table_BDD[[#This Row],[S / L]]-2,Table_BDD[[#This Row],[S / L]]&gt;Table_BDD[[#This Row],[Lvl Entrée]]+19),"Oui","Non")))</f>
        <v>Non</v>
      </c>
      <c r="BB33" s="37" t="str">
        <f>IF(Table_BDD[[#This Row],[Position]]="","Sans objet",IF(AND(Table_BDD[[#This Row],[Type]]="sell",Table_BDD[[#This Row],[S / L]]&lt;Table_BDD[[#This Row],[Lvl Entrée]],Table_BDD[[#This Row],[Points]]&gt;=-1),"Oui",IF(AND(Table_BDD[[#This Row],[Type]]="sell",Table_BDD[[#This Row],[S / L]]&gt;Table_BDD[[#This Row],[Lvl Entrée]]),"Non",IF(AND(Table_BDD[[#This Row],[Type]]="buy",Table_BDD[[#This Row],[S / L]]&lt;Table_BDD[[#This Row],[Lvl Entrée]]),"Non",IF(AND(Table_BDD[[#This Row],[Type]]="buy",Table_BDD[[#This Row],[S / L]]&gt;Table_BDD[[#This Row],[Lvl Entrée]],Table_BDD[[#This Row],[Points]]&gt;=-1),"Oui")))))</f>
        <v>Non</v>
      </c>
      <c r="BC33" s="37" t="str">
        <f>IF(Table_BDD[[#This Row],[Position]]="","Sans objet",IF(Table_BDD[[#This Row],[T / P]]="","Non",IF(AND(Table_BDD[[#This Row],[Type]]="sell",Table_BDD[[#This Row],[Lvl Sortie]]&lt;=Table_BDD[[#This Row],[T / P]]),"Oui",IF(AND(Table_BDD[[#This Row],[Type]]="buy",Table_BDD[[#This Row],[Lvl Sortie]]&gt;=Table_BDD[[#This Row],[T / P]]),"Oui","Non"))))</f>
        <v>Non</v>
      </c>
      <c r="BD33" s="91">
        <f t="array" ref="BD33">IFERROR(INDEX(downloadFile[#All],MATCH(Table_BDD[[#This Row],[Date]],downloadFile[[#All],[Column1]],0),2),BD32)</f>
        <v>1.1023000000000001</v>
      </c>
      <c r="BE33" s="89">
        <f>IF(Table_BDD[[#This Row],[Position]]="","",IF(Table_BDD[[#This Row],[Symbole]]="UsaInd",(Table_BDD[[#This Row],[Volume]]*Table_BDD[[#This Row],[Lvl Entrée]])/(Table_BDD[[#This Row],[Equité avant trade]]*Table_BDD[[#This Row],[EUR/USD]]),IF(Table_BDD[[#This Row],[Symbole]]="Ger30",(Table_BDD[[#This Row],[Volume]]*Table_BDD[[#This Row],[Lvl Entrée]])/Table_BDD[[#This Row],[Equité avant trade]],)))</f>
        <v>13.347446887394327</v>
      </c>
      <c r="BF33" s="38">
        <f>IF(Table_BDD[[#This Row],[Position]]="","",IF(Table_BDD[[#This Row],[Conformité]]="Non conforme",0,(MROUND(3*((Table_BDD[[#This Row],[Conviction]]+Table_BDD[[#This Row],[Timing]]+Table_BDD[[#This Row],[Sortie]])+1)-2,1))))</f>
        <v>0</v>
      </c>
      <c r="BG33" s="38" t="str">
        <f>IF(Table_BDD[[#This Row],[Position]]="","",IF(Table_BDD[[#This Row],[Points]]&lt;-5,"--",IF(AND(Table_BDD[[#This Row],[Points]]&gt;=-5,Table_BDD[[#This Row],[Points]]&lt;-1.5),"-",IF(AND(Table_BDD[[#This Row],[Points]]&gt;=-1.5,Table_BDD[[#This Row],[Points]]&lt;1.5),"0",IF(AND(Table_BDD[[#This Row],[Points]]&gt;=1.5,Table_BDD[[#This Row],[Points]]&lt;=70),"+",IF(Table_BDD[[#This Row],[Points]]&gt;70,"++"))))))</f>
        <v>--</v>
      </c>
      <c r="BH33" s="37" t="str">
        <f>IF(Table_BDD[[#This Row],[Position]]="","",IF(Table_BDD[[#This Row],[Points]]&gt;0,"Gagnant",IF(Table_BDD[[#This Row],[Points]]=0,"Flat","Perdant")))</f>
        <v>Perdant</v>
      </c>
      <c r="BI33" s="40">
        <f>IF(Table_BDD[[#This Row],[Position]]="","",IF(Table_BDD[[#This Row],[Résultat]]="Gagnant",1,0))</f>
        <v>0</v>
      </c>
      <c r="BJ33" s="40">
        <f>IF(Table_BDD[[#This Row],[Position]]="","",IF(Table_BDD[[#This Row],[Résultat]]="Perdant",1,0))</f>
        <v>1</v>
      </c>
      <c r="BK33" s="40"/>
      <c r="BL33" s="145">
        <f>IF(Table_BDD[[#This Row],[T / P]]="","",Table_BDD[[#This Row],[T / P]])</f>
        <v>29275.17</v>
      </c>
      <c r="BM33" s="147"/>
      <c r="BN33" s="147"/>
      <c r="BO33" s="147"/>
      <c r="BP33" s="147"/>
      <c r="BQ33" s="127"/>
    </row>
    <row r="34" spans="1:69" x14ac:dyDescent="0.2">
      <c r="A34" s="93">
        <v>43866.673587962963</v>
      </c>
      <c r="B34" s="94">
        <v>259507965</v>
      </c>
      <c r="C34" s="37" t="s">
        <v>8</v>
      </c>
      <c r="D34" s="37" t="s">
        <v>9</v>
      </c>
      <c r="E34" s="37">
        <v>0.5</v>
      </c>
      <c r="F34" s="95">
        <v>29105.01</v>
      </c>
      <c r="G34" s="95">
        <v>29094.33</v>
      </c>
      <c r="H34" s="95"/>
      <c r="I34" s="28">
        <v>43866.67386574074</v>
      </c>
      <c r="J34" s="95">
        <v>29094.07</v>
      </c>
      <c r="K34" s="95">
        <v>0</v>
      </c>
      <c r="L34" s="95">
        <v>0</v>
      </c>
      <c r="M34" s="32">
        <v>-4.97</v>
      </c>
      <c r="N34" s="148">
        <f>IF(Table_BDD[[#This Row],[Position]]="","",ROW()-3)</f>
        <v>31</v>
      </c>
      <c r="O34" s="32">
        <f>SUM($L$4:M34)</f>
        <v>-19.88</v>
      </c>
      <c r="P34" s="32">
        <f>Table_BDD[[#This Row],[Equité avant trade]]+Table_BDD[[#This Row],[Profit]]+Table_BDD[[#This Row],[Echange]]</f>
        <v>980.12</v>
      </c>
      <c r="Q34" s="52">
        <f>INT(Table_BDD[[#This Row],[Horodatage cloture]])</f>
        <v>43866</v>
      </c>
      <c r="R34" s="34">
        <f>WEEKNUM(Table_BDD[[#This Row],[Horodatage cloture]],2)</f>
        <v>6</v>
      </c>
      <c r="S34" s="61">
        <f>WEEKDAY(Table_BDD[[#This Row],[Horodatage cloture]])</f>
        <v>4</v>
      </c>
      <c r="T34" s="63">
        <f>HOUR(Table_BDD[[#This Row],[Horodatage cloture]])</f>
        <v>16</v>
      </c>
      <c r="U34" s="68">
        <f>IF(Table_BDD[[#This Row],[Position]]="","",IF(Table_BDD[[#This Row],[Valeur début de journée unique]]&lt;&gt;0,1,0))</f>
        <v>0</v>
      </c>
      <c r="V34" s="68" t="str">
        <f>IF(Table_BDD[[#This Row],[Nb de séance de trading]]=1,COUNTIF(Table_BDD[Date],Table_BDD[[#This Row],[Date]]),"")</f>
        <v/>
      </c>
      <c r="W34" s="33">
        <f>IF(Table_BDD[[#This Row],[Position]]="","",IF(Table_BDD[[#This Row],[Type]]="buy",ROUND(Table_BDD[[#This Row],[Lvl Entrée]]-Table_BDD[[#This Row],[S / L]],1),ROUND(Table_BDD[[#This Row],[S / L]]-Table_BDD[[#This Row],[Lvl Entrée]],1)))</f>
        <v>10.7</v>
      </c>
      <c r="X34" s="33">
        <f>IF(Table_BDD[[#This Row],[Position]]="","",IF(Table_BDD[[#This Row],[T / P]]=0,200,IF(Table_BDD[[#This Row],[Type]]="buy",ROUND(Table_BDD[[#This Row],[T / P]]-Table_BDD[[#This Row],[Lvl Entrée]],1),ROUND(Table_BDD[[#This Row],[Lvl Entrée]]-Table_BDD[[#This Row],[T / P]],1))))</f>
        <v>200</v>
      </c>
      <c r="Y34" s="34">
        <f>IF(Table_BDD[[#This Row],[Position]]="","",IF(Table_BDD[[#This Row],[Ecart du SL]]&gt;0,ROUND(ABS(Table_BDD[[#This Row],[Ecart du TP]])/ABS(Table_BDD[[#This Row],[Ecart du SL]]),1),ROUND(ABS(Table_BDD[[#This Row],[Ecart du TP]])/10,1)))</f>
        <v>18.7</v>
      </c>
      <c r="Z34" s="34">
        <f>IF(Table_BDD[[#This Row],[Position]]="","",IF(Table_BDD[[#This Row],[Ecart du SL]]&lt;0,IF(AND(Table_BDD[[#This Row],[Profit]]&gt;0,Table_BDD[[#This Row],[Type]]="sell"),ROUND((Table_BDD[[#This Row],[Lvl Entrée]]-Table_BDD[[#This Row],[Lvl Sortie]])/(10),1),IF(AND(Table_BDD[[#This Row],[Profit]]&gt;0,Table_BDD[[#This Row],[Type]]="buy"),ROUND((Table_BDD[[#This Row],[Lvl Sortie]]-Table_BDD[[#This Row],[Lvl Entrée]])/(10),1),)),IF(AND(Table_BDD[[#This Row],[Profit]]&gt;0,Table_BDD[[#This Row],[Type]]="sell"),ROUND((Table_BDD[[#This Row],[Lvl Entrée]]-Table_BDD[[#This Row],[Lvl Sortie]])/(Table_BDD[[#This Row],[S / L]]-Table_BDD[[#This Row],[Lvl Entrée]]),1),IF(AND(Table_BDD[[#This Row],[Profit]]&gt;0,Table_BDD[[#This Row],[Type]]="buy"),ROUND((Table_BDD[[#This Row],[Lvl Sortie]]-Table_BDD[[#This Row],[Lvl Entrée]])/(Table_BDD[[#This Row],[Lvl Entrée]]-Table_BDD[[#This Row],[S / L]]),1),ROUND(Table_BDD[[#This Row],[Points]]/10,1)))))</f>
        <v>-1.1000000000000001</v>
      </c>
      <c r="AA34" s="32">
        <f>IF(Table_BDD[[#This Row],[Position]]="",AA33,Table_BDD[[#This Row],[Equité après trade]]-Table_BDD[[#This Row],[Profit]]-Table_BDD[[#This Row],[Echange]])</f>
        <v>985.09</v>
      </c>
      <c r="AB34" s="149">
        <f>$B$1+SUM($L$4:M34)</f>
        <v>980.12</v>
      </c>
      <c r="AC34" s="150">
        <f>IF(Table_BDD[[#This Row],[Position]]="","",_xlfn.MINIFS(Table_BDD[Horodatage ouverture],Table_BDD[Date],Table_BDD[Date]))</f>
        <v>43866.667986111112</v>
      </c>
      <c r="AD34" s="149">
        <f>VLOOKUP(_xlfn.MINIFS(Table_BDD[Horodatage ouverture],Table_BDD[Date],Table_BDD[Date]),Table_BDD[[Horodatage ouverture]:[Heure derniere valeur]],AA$2)</f>
        <v>1011.88</v>
      </c>
      <c r="AE34" s="149">
        <f>IF(VLOOKUP(_xlfn.MINIFS(Table_BDD[Horodatage ouverture],Table_BDD[Date],Table_BDD[Date]),Table_BDD[[Horodatage ouverture]:[Heure derniere valeur]],AA$2)=Table_BDD[[#This Row],[Equité avant trade]],VLOOKUP(_xlfn.MINIFS(Table_BDD[Horodatage ouverture],Table_BDD[Date],Table_BDD[Date]),Table_BDD[[Horodatage ouverture]:[Heure derniere valeur]],AA$2),0)</f>
        <v>0</v>
      </c>
      <c r="AF34" s="150">
        <f>IF(Table_BDD[[#This Row],[Position]]="","",_xlfn.MAXIFS(Table_BDD[Horodatage ouverture],Table_BDD[Date],Table_BDD[Date]))</f>
        <v>43866.695891203701</v>
      </c>
      <c r="AG34" s="32">
        <f>VLOOKUP(_xlfn.MAXIFS(Table_BDD[Horodatage cloture],Table_BDD[Date],Table_BDD[Date]),Table_BDD[[Horodatage ouverture]:[Heure derniere valeur]],AB$2)</f>
        <v>1017.63</v>
      </c>
      <c r="AH34" s="32">
        <f>IF(VLOOKUP(_xlfn.MAXIFS(Table_BDD[Horodatage cloture],Table_BDD[Date],Table_BDD[Date]),Table_BDD[[Horodatage ouverture]:[Heure derniere valeur]],AB$2)=Table_BDD[[#This Row],[Equité après trade]],VLOOKUP(_xlfn.MAXIFS(Table_BDD[Horodatage cloture],Table_BDD[Date],Table_BDD[Date]),Table_BDD[[Horodatage ouverture]:[Heure derniere valeur]],AB$2),0)</f>
        <v>0</v>
      </c>
      <c r="AI34" s="32" t="e">
        <f>IF(Table_BDD[[#This Row],[Valeur fin de journée unique]]=0,#N/A,Table_BDD[[#This Row],[Valeur fin de journée unique]])</f>
        <v>#N/A</v>
      </c>
      <c r="AJ34" s="35">
        <f>IF(Table_BDD[[#This Row],[Position]]="","",(Table_BDD[[#This Row],[Equité après trade]]-Table_BDD[[#This Row],[Equité avant trade]])/Table_BDD[[#This Row],[Equité avant trade]])</f>
        <v>-5.045224294226951E-3</v>
      </c>
      <c r="AK34" s="35" t="str">
        <f>IFERROR(((INDEX(Table_BDD[[Trade n°]:[Valeur fin de journée unique]],Table_BDD[[#This Row],[Nb de trade du jour]]+Table_BDD[[#This Row],[Trade n°]]-1,21))-Table_BDD[[#This Row],[Valeur début de journée unique]])/Table_BDD[[#This Row],[Valeur début de journée unique]],"")</f>
        <v/>
      </c>
      <c r="AL34" s="32">
        <f>IF(Table_BDD[[#This Row],[Position]]="","",MAX(Table_BDD[[#This Row],[Cumul équité]],AL33))</f>
        <v>1019.44</v>
      </c>
      <c r="AM34" s="32">
        <f>IF(Table_BDD[[#This Row],[Position]]="","",MIN(Table_BDD[[#This Row],[Cumul équité]],AL33))</f>
        <v>980.12</v>
      </c>
      <c r="AN34" s="97">
        <f>IF(Table_BDD[[#This Row],[Sommet Drawdown]]&gt;AL33,"",Table_BDD[[#This Row],[Creux Drawdown]]/Table_BDD[[#This Row],[Sommet Drawdown]]-1)</f>
        <v>-3.8570195401396945E-2</v>
      </c>
      <c r="AO34" s="36">
        <f>IF(Table_BDD[[#This Row],[Position]]="","",IF(Table_BDD[[#This Row],[Type]]="buy",ROUND(Table_BDD[[#This Row],[Lvl Sortie]]-Table_BDD[[#This Row],[Lvl Entrée]],1),ROUND(Table_BDD[[#This Row],[Lvl Entrée]]-Table_BDD[[#This Row],[Lvl Sortie]],1)))</f>
        <v>-10.9</v>
      </c>
      <c r="AP34" s="36" t="str">
        <f>IF(Table_BDD[[#This Row],[Points]]&gt;0,Table_BDD[[#This Row],[Points]],"")</f>
        <v/>
      </c>
      <c r="AQ34" s="36">
        <f>IF(Table_BDD[[#This Row],[Points]]&lt;0,Table_BDD[[#This Row],[Points]],"")</f>
        <v>-10.9</v>
      </c>
      <c r="AR34" s="36">
        <f>SUM($AO$4:AO34)</f>
        <v>-43.599999999999994</v>
      </c>
      <c r="AS34" s="68">
        <f>IF(Table_BDD[[#This Row],[Position]]="","",IF(Table_BDD[[#This Row],[Conformité]]="Conforme",1,0))</f>
        <v>0</v>
      </c>
      <c r="AT34" s="68">
        <f>IF(Table_BDD[[#This Row],[Position]]="","",IF(Table_BDD[[#This Row],[Conformité]]="Non conforme",1,0))</f>
        <v>1</v>
      </c>
      <c r="AU34" s="37" t="s">
        <v>17</v>
      </c>
      <c r="AV34" s="37"/>
      <c r="AW34" s="37"/>
      <c r="AX34" s="37">
        <v>0</v>
      </c>
      <c r="AY34" s="37">
        <v>0</v>
      </c>
      <c r="AZ34" s="37">
        <v>0</v>
      </c>
      <c r="BA34" s="37" t="str">
        <f>IF(Table_BDD[[#This Row],[Position]]="","Sans objet",IF(AND(Table_BDD[[#This Row],[Type]]="sell",Table_BDD[[#This Row],[S / L]]&lt;Table_BDD[[#This Row],[Lvl Entrée]],Table_BDD[[#This Row],[Lvl Sortie]]&lt;=Table_BDD[[#This Row],[S / L]]+2,Table_BDD[[#This Row],[Lvl Sortie]]&lt;Table_BDD[[#This Row],[Lvl Entrée]]-19),"Oui",IF(AND(Table_BDD[[#This Row],[Type]]="buy",Table_BDD[[#This Row],[S / L]]&gt;Table_BDD[[#This Row],[Lvl Entrée]],Table_BDD[[#This Row],[Lvl Sortie]]&gt;=Table_BDD[[#This Row],[S / L]]-2,Table_BDD[[#This Row],[S / L]]&gt;Table_BDD[[#This Row],[Lvl Entrée]]+19),"Oui","Non")))</f>
        <v>Non</v>
      </c>
      <c r="BB34" s="37" t="str">
        <f>IF(Table_BDD[[#This Row],[Position]]="","Sans objet",IF(AND(Table_BDD[[#This Row],[Type]]="sell",Table_BDD[[#This Row],[S / L]]&lt;Table_BDD[[#This Row],[Lvl Entrée]],Table_BDD[[#This Row],[Points]]&gt;=-1),"Oui",IF(AND(Table_BDD[[#This Row],[Type]]="sell",Table_BDD[[#This Row],[S / L]]&gt;Table_BDD[[#This Row],[Lvl Entrée]]),"Non",IF(AND(Table_BDD[[#This Row],[Type]]="buy",Table_BDD[[#This Row],[S / L]]&lt;Table_BDD[[#This Row],[Lvl Entrée]]),"Non",IF(AND(Table_BDD[[#This Row],[Type]]="buy",Table_BDD[[#This Row],[S / L]]&gt;Table_BDD[[#This Row],[Lvl Entrée]],Table_BDD[[#This Row],[Points]]&gt;=-1),"Oui")))))</f>
        <v>Non</v>
      </c>
      <c r="BC34" s="37" t="str">
        <f>IF(Table_BDD[[#This Row],[Position]]="","Sans objet",IF(Table_BDD[[#This Row],[T / P]]="","Non",IF(AND(Table_BDD[[#This Row],[Type]]="sell",Table_BDD[[#This Row],[Lvl Sortie]]&lt;=Table_BDD[[#This Row],[T / P]]),"Oui",IF(AND(Table_BDD[[#This Row],[Type]]="buy",Table_BDD[[#This Row],[Lvl Sortie]]&gt;=Table_BDD[[#This Row],[T / P]]),"Oui","Non"))))</f>
        <v>Non</v>
      </c>
      <c r="BD34" s="91">
        <f t="array" ref="BD34">IFERROR(INDEX(downloadFile[#All],MATCH(Table_BDD[[#This Row],[Date]],downloadFile[[#All],[Column1]],0),2),BD33)</f>
        <v>1.1023000000000001</v>
      </c>
      <c r="BE34" s="89">
        <f>IF(Table_BDD[[#This Row],[Position]]="","",IF(Table_BDD[[#This Row],[Symbole]]="UsaInd",(Table_BDD[[#This Row],[Volume]]*Table_BDD[[#This Row],[Lvl Entrée]])/(Table_BDD[[#This Row],[Equité avant trade]]*Table_BDD[[#This Row],[EUR/USD]]),IF(Table_BDD[[#This Row],[Symbole]]="Ger30",(Table_BDD[[#This Row],[Volume]]*Table_BDD[[#This Row],[Lvl Entrée]])/Table_BDD[[#This Row],[Equité avant trade]],)))</f>
        <v>13.401766266264694</v>
      </c>
      <c r="BF34" s="38">
        <f>IF(Table_BDD[[#This Row],[Position]]="","",IF(Table_BDD[[#This Row],[Conformité]]="Non conforme",0,(MROUND(3*((Table_BDD[[#This Row],[Conviction]]+Table_BDD[[#This Row],[Timing]]+Table_BDD[[#This Row],[Sortie]])+1)-2,1))))</f>
        <v>0</v>
      </c>
      <c r="BG34" s="38" t="str">
        <f>IF(Table_BDD[[#This Row],[Position]]="","",IF(Table_BDD[[#This Row],[Points]]&lt;-5,"--",IF(AND(Table_BDD[[#This Row],[Points]]&gt;=-5,Table_BDD[[#This Row],[Points]]&lt;-1.5),"-",IF(AND(Table_BDD[[#This Row],[Points]]&gt;=-1.5,Table_BDD[[#This Row],[Points]]&lt;1.5),"0",IF(AND(Table_BDD[[#This Row],[Points]]&gt;=1.5,Table_BDD[[#This Row],[Points]]&lt;=70),"+",IF(Table_BDD[[#This Row],[Points]]&gt;70,"++"))))))</f>
        <v>--</v>
      </c>
      <c r="BH34" s="37" t="str">
        <f>IF(Table_BDD[[#This Row],[Position]]="","",IF(Table_BDD[[#This Row],[Points]]&gt;0,"Gagnant",IF(Table_BDD[[#This Row],[Points]]=0,"Flat","Perdant")))</f>
        <v>Perdant</v>
      </c>
      <c r="BI34" s="40">
        <f>IF(Table_BDD[[#This Row],[Position]]="","",IF(Table_BDD[[#This Row],[Résultat]]="Gagnant",1,0))</f>
        <v>0</v>
      </c>
      <c r="BJ34" s="40">
        <f>IF(Table_BDD[[#This Row],[Position]]="","",IF(Table_BDD[[#This Row],[Résultat]]="Perdant",1,0))</f>
        <v>1</v>
      </c>
      <c r="BK34" s="40"/>
      <c r="BL34" s="145" t="str">
        <f>IF(Table_BDD[[#This Row],[T / P]]="","",Table_BDD[[#This Row],[T / P]])</f>
        <v/>
      </c>
      <c r="BM34" s="147"/>
      <c r="BN34" s="147"/>
      <c r="BO34" s="147"/>
      <c r="BP34" s="147"/>
      <c r="BQ34" s="127"/>
    </row>
    <row r="35" spans="1:69" x14ac:dyDescent="0.2">
      <c r="A35" s="93">
        <v>43866.674062500002</v>
      </c>
      <c r="B35" s="94">
        <v>259508057</v>
      </c>
      <c r="C35" s="37" t="s">
        <v>8</v>
      </c>
      <c r="D35" s="37" t="s">
        <v>9</v>
      </c>
      <c r="E35" s="37">
        <v>0.5</v>
      </c>
      <c r="F35" s="95">
        <v>29088.35</v>
      </c>
      <c r="G35" s="95">
        <v>29078.98</v>
      </c>
      <c r="H35" s="95">
        <v>29268.35</v>
      </c>
      <c r="I35" s="28">
        <v>43866.676203703704</v>
      </c>
      <c r="J35" s="95">
        <v>29078.98</v>
      </c>
      <c r="K35" s="95">
        <v>0</v>
      </c>
      <c r="L35" s="95">
        <v>0</v>
      </c>
      <c r="M35" s="32">
        <v>-4.26</v>
      </c>
      <c r="N35" s="148">
        <f>IF(Table_BDD[[#This Row],[Position]]="","",ROW()-3)</f>
        <v>32</v>
      </c>
      <c r="O35" s="32">
        <f>SUM($L$4:M35)</f>
        <v>-24.14</v>
      </c>
      <c r="P35" s="32">
        <f>Table_BDD[[#This Row],[Equité avant trade]]+Table_BDD[[#This Row],[Profit]]+Table_BDD[[#This Row],[Echange]]</f>
        <v>975.86</v>
      </c>
      <c r="Q35" s="52">
        <f>INT(Table_BDD[[#This Row],[Horodatage cloture]])</f>
        <v>43866</v>
      </c>
      <c r="R35" s="34">
        <f>WEEKNUM(Table_BDD[[#This Row],[Horodatage cloture]],2)</f>
        <v>6</v>
      </c>
      <c r="S35" s="61">
        <f>WEEKDAY(Table_BDD[[#This Row],[Horodatage cloture]])</f>
        <v>4</v>
      </c>
      <c r="T35" s="63">
        <f>HOUR(Table_BDD[[#This Row],[Horodatage cloture]])</f>
        <v>16</v>
      </c>
      <c r="U35" s="68">
        <f>IF(Table_BDD[[#This Row],[Position]]="","",IF(Table_BDD[[#This Row],[Valeur début de journée unique]]&lt;&gt;0,1,0))</f>
        <v>0</v>
      </c>
      <c r="V35" s="68" t="str">
        <f>IF(Table_BDD[[#This Row],[Nb de séance de trading]]=1,COUNTIF(Table_BDD[Date],Table_BDD[[#This Row],[Date]]),"")</f>
        <v/>
      </c>
      <c r="W35" s="33">
        <f>IF(Table_BDD[[#This Row],[Position]]="","",IF(Table_BDD[[#This Row],[Type]]="buy",ROUND(Table_BDD[[#This Row],[Lvl Entrée]]-Table_BDD[[#This Row],[S / L]],1),ROUND(Table_BDD[[#This Row],[S / L]]-Table_BDD[[#This Row],[Lvl Entrée]],1)))</f>
        <v>9.4</v>
      </c>
      <c r="X35" s="33">
        <f>IF(Table_BDD[[#This Row],[Position]]="","",IF(Table_BDD[[#This Row],[T / P]]=0,200,IF(Table_BDD[[#This Row],[Type]]="buy",ROUND(Table_BDD[[#This Row],[T / P]]-Table_BDD[[#This Row],[Lvl Entrée]],1),ROUND(Table_BDD[[#This Row],[Lvl Entrée]]-Table_BDD[[#This Row],[T / P]],1))))</f>
        <v>180</v>
      </c>
      <c r="Y35" s="34">
        <f>IF(Table_BDD[[#This Row],[Position]]="","",IF(Table_BDD[[#This Row],[Ecart du SL]]&gt;0,ROUND(ABS(Table_BDD[[#This Row],[Ecart du TP]])/ABS(Table_BDD[[#This Row],[Ecart du SL]]),1),ROUND(ABS(Table_BDD[[#This Row],[Ecart du TP]])/10,1)))</f>
        <v>19.100000000000001</v>
      </c>
      <c r="Z35" s="34">
        <f>IF(Table_BDD[[#This Row],[Position]]="","",IF(Table_BDD[[#This Row],[Ecart du SL]]&lt;0,IF(AND(Table_BDD[[#This Row],[Profit]]&gt;0,Table_BDD[[#This Row],[Type]]="sell"),ROUND((Table_BDD[[#This Row],[Lvl Entrée]]-Table_BDD[[#This Row],[Lvl Sortie]])/(10),1),IF(AND(Table_BDD[[#This Row],[Profit]]&gt;0,Table_BDD[[#This Row],[Type]]="buy"),ROUND((Table_BDD[[#This Row],[Lvl Sortie]]-Table_BDD[[#This Row],[Lvl Entrée]])/(10),1),)),IF(AND(Table_BDD[[#This Row],[Profit]]&gt;0,Table_BDD[[#This Row],[Type]]="sell"),ROUND((Table_BDD[[#This Row],[Lvl Entrée]]-Table_BDD[[#This Row],[Lvl Sortie]])/(Table_BDD[[#This Row],[S / L]]-Table_BDD[[#This Row],[Lvl Entrée]]),1),IF(AND(Table_BDD[[#This Row],[Profit]]&gt;0,Table_BDD[[#This Row],[Type]]="buy"),ROUND((Table_BDD[[#This Row],[Lvl Sortie]]-Table_BDD[[#This Row],[Lvl Entrée]])/(Table_BDD[[#This Row],[Lvl Entrée]]-Table_BDD[[#This Row],[S / L]]),1),ROUND(Table_BDD[[#This Row],[Points]]/10,1)))))</f>
        <v>-0.9</v>
      </c>
      <c r="AA35" s="32">
        <f>IF(Table_BDD[[#This Row],[Position]]="",AA34,Table_BDD[[#This Row],[Equité après trade]]-Table_BDD[[#This Row],[Profit]]-Table_BDD[[#This Row],[Echange]])</f>
        <v>980.12</v>
      </c>
      <c r="AB35" s="149">
        <f>$B$1+SUM($L$4:M35)</f>
        <v>975.86</v>
      </c>
      <c r="AC35" s="150">
        <f>IF(Table_BDD[[#This Row],[Position]]="","",_xlfn.MINIFS(Table_BDD[Horodatage ouverture],Table_BDD[Date],Table_BDD[Date]))</f>
        <v>43866.667986111112</v>
      </c>
      <c r="AD35" s="149">
        <f>VLOOKUP(_xlfn.MINIFS(Table_BDD[Horodatage ouverture],Table_BDD[Date],Table_BDD[Date]),Table_BDD[[Horodatage ouverture]:[Heure derniere valeur]],AA$2)</f>
        <v>1011.88</v>
      </c>
      <c r="AE35" s="149">
        <f>IF(VLOOKUP(_xlfn.MINIFS(Table_BDD[Horodatage ouverture],Table_BDD[Date],Table_BDD[Date]),Table_BDD[[Horodatage ouverture]:[Heure derniere valeur]],AA$2)=Table_BDD[[#This Row],[Equité avant trade]],VLOOKUP(_xlfn.MINIFS(Table_BDD[Horodatage ouverture],Table_BDD[Date],Table_BDD[Date]),Table_BDD[[Horodatage ouverture]:[Heure derniere valeur]],AA$2),0)</f>
        <v>0</v>
      </c>
      <c r="AF35" s="150">
        <f>IF(Table_BDD[[#This Row],[Position]]="","",_xlfn.MAXIFS(Table_BDD[Horodatage ouverture],Table_BDD[Date],Table_BDD[Date]))</f>
        <v>43866.695891203701</v>
      </c>
      <c r="AG35" s="32">
        <f>VLOOKUP(_xlfn.MAXIFS(Table_BDD[Horodatage cloture],Table_BDD[Date],Table_BDD[Date]),Table_BDD[[Horodatage ouverture]:[Heure derniere valeur]],AB$2)</f>
        <v>1017.63</v>
      </c>
      <c r="AH35" s="32">
        <f>IF(VLOOKUP(_xlfn.MAXIFS(Table_BDD[Horodatage cloture],Table_BDD[Date],Table_BDD[Date]),Table_BDD[[Horodatage ouverture]:[Heure derniere valeur]],AB$2)=Table_BDD[[#This Row],[Equité après trade]],VLOOKUP(_xlfn.MAXIFS(Table_BDD[Horodatage cloture],Table_BDD[Date],Table_BDD[Date]),Table_BDD[[Horodatage ouverture]:[Heure derniere valeur]],AB$2),0)</f>
        <v>0</v>
      </c>
      <c r="AI35" s="32" t="e">
        <f>IF(Table_BDD[[#This Row],[Valeur fin de journée unique]]=0,#N/A,Table_BDD[[#This Row],[Valeur fin de journée unique]])</f>
        <v>#N/A</v>
      </c>
      <c r="AJ35" s="35">
        <f>IF(Table_BDD[[#This Row],[Position]]="","",(Table_BDD[[#This Row],[Equité après trade]]-Table_BDD[[#This Row],[Equité avant trade]])/Table_BDD[[#This Row],[Equité avant trade]])</f>
        <v>-4.3464065624617297E-3</v>
      </c>
      <c r="AK35" s="35" t="str">
        <f>IFERROR(((INDEX(Table_BDD[[Trade n°]:[Valeur fin de journée unique]],Table_BDD[[#This Row],[Nb de trade du jour]]+Table_BDD[[#This Row],[Trade n°]]-1,21))-Table_BDD[[#This Row],[Valeur début de journée unique]])/Table_BDD[[#This Row],[Valeur début de journée unique]],"")</f>
        <v/>
      </c>
      <c r="AL35" s="32">
        <f>IF(Table_BDD[[#This Row],[Position]]="","",MAX(Table_BDD[[#This Row],[Cumul équité]],AL34))</f>
        <v>1019.44</v>
      </c>
      <c r="AM35" s="32">
        <f>IF(Table_BDD[[#This Row],[Position]]="","",MIN(Table_BDD[[#This Row],[Cumul équité]],AL34))</f>
        <v>975.86</v>
      </c>
      <c r="AN35" s="97">
        <f>IF(Table_BDD[[#This Row],[Sommet Drawdown]]&gt;AL34,"",Table_BDD[[#This Row],[Creux Drawdown]]/Table_BDD[[#This Row],[Sommet Drawdown]]-1)</f>
        <v>-4.2748960213450538E-2</v>
      </c>
      <c r="AO35" s="36">
        <f>IF(Table_BDD[[#This Row],[Position]]="","",IF(Table_BDD[[#This Row],[Type]]="buy",ROUND(Table_BDD[[#This Row],[Lvl Sortie]]-Table_BDD[[#This Row],[Lvl Entrée]],1),ROUND(Table_BDD[[#This Row],[Lvl Entrée]]-Table_BDD[[#This Row],[Lvl Sortie]],1)))</f>
        <v>-9.4</v>
      </c>
      <c r="AP35" s="36" t="str">
        <f>IF(Table_BDD[[#This Row],[Points]]&gt;0,Table_BDD[[#This Row],[Points]],"")</f>
        <v/>
      </c>
      <c r="AQ35" s="36">
        <f>IF(Table_BDD[[#This Row],[Points]]&lt;0,Table_BDD[[#This Row],[Points]],"")</f>
        <v>-9.4</v>
      </c>
      <c r="AR35" s="36">
        <f>SUM($AO$4:AO35)</f>
        <v>-52.999999999999993</v>
      </c>
      <c r="AS35" s="68">
        <f>IF(Table_BDD[[#This Row],[Position]]="","",IF(Table_BDD[[#This Row],[Conformité]]="Conforme",1,0))</f>
        <v>0</v>
      </c>
      <c r="AT35" s="68">
        <f>IF(Table_BDD[[#This Row],[Position]]="","",IF(Table_BDD[[#This Row],[Conformité]]="Non conforme",1,0))</f>
        <v>1</v>
      </c>
      <c r="AU35" s="37" t="s">
        <v>17</v>
      </c>
      <c r="AV35" s="37"/>
      <c r="AW35" s="37"/>
      <c r="AX35" s="37">
        <v>0</v>
      </c>
      <c r="AY35" s="37">
        <v>0</v>
      </c>
      <c r="AZ35" s="37">
        <v>0</v>
      </c>
      <c r="BA35" s="37" t="str">
        <f>IF(Table_BDD[[#This Row],[Position]]="","Sans objet",IF(AND(Table_BDD[[#This Row],[Type]]="sell",Table_BDD[[#This Row],[S / L]]&lt;Table_BDD[[#This Row],[Lvl Entrée]],Table_BDD[[#This Row],[Lvl Sortie]]&lt;=Table_BDD[[#This Row],[S / L]]+2,Table_BDD[[#This Row],[Lvl Sortie]]&lt;Table_BDD[[#This Row],[Lvl Entrée]]-19),"Oui",IF(AND(Table_BDD[[#This Row],[Type]]="buy",Table_BDD[[#This Row],[S / L]]&gt;Table_BDD[[#This Row],[Lvl Entrée]],Table_BDD[[#This Row],[Lvl Sortie]]&gt;=Table_BDD[[#This Row],[S / L]]-2,Table_BDD[[#This Row],[S / L]]&gt;Table_BDD[[#This Row],[Lvl Entrée]]+19),"Oui","Non")))</f>
        <v>Non</v>
      </c>
      <c r="BB35" s="37" t="str">
        <f>IF(Table_BDD[[#This Row],[Position]]="","Sans objet",IF(AND(Table_BDD[[#This Row],[Type]]="sell",Table_BDD[[#This Row],[S / L]]&lt;Table_BDD[[#This Row],[Lvl Entrée]],Table_BDD[[#This Row],[Points]]&gt;=-1),"Oui",IF(AND(Table_BDD[[#This Row],[Type]]="sell",Table_BDD[[#This Row],[S / L]]&gt;Table_BDD[[#This Row],[Lvl Entrée]]),"Non",IF(AND(Table_BDD[[#This Row],[Type]]="buy",Table_BDD[[#This Row],[S / L]]&lt;Table_BDD[[#This Row],[Lvl Entrée]]),"Non",IF(AND(Table_BDD[[#This Row],[Type]]="buy",Table_BDD[[#This Row],[S / L]]&gt;Table_BDD[[#This Row],[Lvl Entrée]],Table_BDD[[#This Row],[Points]]&gt;=-1),"Oui")))))</f>
        <v>Non</v>
      </c>
      <c r="BC35" s="37" t="str">
        <f>IF(Table_BDD[[#This Row],[Position]]="","Sans objet",IF(Table_BDD[[#This Row],[T / P]]="","Non",IF(AND(Table_BDD[[#This Row],[Type]]="sell",Table_BDD[[#This Row],[Lvl Sortie]]&lt;=Table_BDD[[#This Row],[T / P]]),"Oui",IF(AND(Table_BDD[[#This Row],[Type]]="buy",Table_BDD[[#This Row],[Lvl Sortie]]&gt;=Table_BDD[[#This Row],[T / P]]),"Oui","Non"))))</f>
        <v>Non</v>
      </c>
      <c r="BD35" s="91">
        <f t="array" ref="BD35">IFERROR(INDEX(downloadFile[#All],MATCH(Table_BDD[[#This Row],[Date]],downloadFile[[#All],[Column1]],0),2),BD34)</f>
        <v>1.1023000000000001</v>
      </c>
      <c r="BE35" s="89">
        <f>IF(Table_BDD[[#This Row],[Position]]="","",IF(Table_BDD[[#This Row],[Symbole]]="UsaInd",(Table_BDD[[#This Row],[Volume]]*Table_BDD[[#This Row],[Lvl Entrée]])/(Table_BDD[[#This Row],[Equité avant trade]]*Table_BDD[[#This Row],[EUR/USD]]),IF(Table_BDD[[#This Row],[Symbole]]="Ger30",(Table_BDD[[#This Row],[Volume]]*Table_BDD[[#This Row],[Lvl Entrée]])/Table_BDD[[#This Row],[Equité avant trade]],)))</f>
        <v>13.462013839946261</v>
      </c>
      <c r="BF35" s="38">
        <f>IF(Table_BDD[[#This Row],[Position]]="","",IF(Table_BDD[[#This Row],[Conformité]]="Non conforme",0,(MROUND(3*((Table_BDD[[#This Row],[Conviction]]+Table_BDD[[#This Row],[Timing]]+Table_BDD[[#This Row],[Sortie]])+1)-2,1))))</f>
        <v>0</v>
      </c>
      <c r="BG35" s="38" t="str">
        <f>IF(Table_BDD[[#This Row],[Position]]="","",IF(Table_BDD[[#This Row],[Points]]&lt;-5,"--",IF(AND(Table_BDD[[#This Row],[Points]]&gt;=-5,Table_BDD[[#This Row],[Points]]&lt;-1.5),"-",IF(AND(Table_BDD[[#This Row],[Points]]&gt;=-1.5,Table_BDD[[#This Row],[Points]]&lt;1.5),"0",IF(AND(Table_BDD[[#This Row],[Points]]&gt;=1.5,Table_BDD[[#This Row],[Points]]&lt;=70),"+",IF(Table_BDD[[#This Row],[Points]]&gt;70,"++"))))))</f>
        <v>--</v>
      </c>
      <c r="BH35" s="37" t="str">
        <f>IF(Table_BDD[[#This Row],[Position]]="","",IF(Table_BDD[[#This Row],[Points]]&gt;0,"Gagnant",IF(Table_BDD[[#This Row],[Points]]=0,"Flat","Perdant")))</f>
        <v>Perdant</v>
      </c>
      <c r="BI35" s="40">
        <f>IF(Table_BDD[[#This Row],[Position]]="","",IF(Table_BDD[[#This Row],[Résultat]]="Gagnant",1,0))</f>
        <v>0</v>
      </c>
      <c r="BJ35" s="40">
        <f>IF(Table_BDD[[#This Row],[Position]]="","",IF(Table_BDD[[#This Row],[Résultat]]="Perdant",1,0))</f>
        <v>1</v>
      </c>
      <c r="BK35" s="40"/>
      <c r="BL35" s="145">
        <f>IF(Table_BDD[[#This Row],[T / P]]="","",Table_BDD[[#This Row],[T / P]])</f>
        <v>29268.35</v>
      </c>
      <c r="BM35" s="147"/>
      <c r="BN35" s="147"/>
      <c r="BO35" s="147"/>
      <c r="BP35" s="147"/>
      <c r="BQ35" s="127"/>
    </row>
    <row r="36" spans="1:69" x14ac:dyDescent="0.2">
      <c r="A36" s="93">
        <v>43866.677129629628</v>
      </c>
      <c r="B36" s="94">
        <v>259508510</v>
      </c>
      <c r="C36" s="37" t="s">
        <v>8</v>
      </c>
      <c r="D36" s="37" t="s">
        <v>9</v>
      </c>
      <c r="E36" s="37">
        <v>0.5</v>
      </c>
      <c r="F36" s="95">
        <v>29086.25</v>
      </c>
      <c r="G36" s="95">
        <v>29076.25</v>
      </c>
      <c r="H36" s="95">
        <v>29276.25</v>
      </c>
      <c r="I36" s="28">
        <v>43866.677523148152</v>
      </c>
      <c r="J36" s="95">
        <v>29076.15</v>
      </c>
      <c r="K36" s="95">
        <v>0</v>
      </c>
      <c r="L36" s="95">
        <v>0</v>
      </c>
      <c r="M36" s="32">
        <v>-4.59</v>
      </c>
      <c r="N36" s="148">
        <f>IF(Table_BDD[[#This Row],[Position]]="","",ROW()-3)</f>
        <v>33</v>
      </c>
      <c r="O36" s="32">
        <f>SUM($L$4:M36)</f>
        <v>-28.73</v>
      </c>
      <c r="P36" s="32">
        <f>Table_BDD[[#This Row],[Equité avant trade]]+Table_BDD[[#This Row],[Profit]]+Table_BDD[[#This Row],[Echange]]</f>
        <v>971.27</v>
      </c>
      <c r="Q36" s="52">
        <f>INT(Table_BDD[[#This Row],[Horodatage cloture]])</f>
        <v>43866</v>
      </c>
      <c r="R36" s="34">
        <f>WEEKNUM(Table_BDD[[#This Row],[Horodatage cloture]],2)</f>
        <v>6</v>
      </c>
      <c r="S36" s="61">
        <f>WEEKDAY(Table_BDD[[#This Row],[Horodatage cloture]])</f>
        <v>4</v>
      </c>
      <c r="T36" s="63">
        <f>HOUR(Table_BDD[[#This Row],[Horodatage cloture]])</f>
        <v>16</v>
      </c>
      <c r="U36" s="68">
        <f>IF(Table_BDD[[#This Row],[Position]]="","",IF(Table_BDD[[#This Row],[Valeur début de journée unique]]&lt;&gt;0,1,0))</f>
        <v>0</v>
      </c>
      <c r="V36" s="68" t="str">
        <f>IF(Table_BDD[[#This Row],[Nb de séance de trading]]=1,COUNTIF(Table_BDD[Date],Table_BDD[[#This Row],[Date]]),"")</f>
        <v/>
      </c>
      <c r="W36" s="33">
        <f>IF(Table_BDD[[#This Row],[Position]]="","",IF(Table_BDD[[#This Row],[Type]]="buy",ROUND(Table_BDD[[#This Row],[Lvl Entrée]]-Table_BDD[[#This Row],[S / L]],1),ROUND(Table_BDD[[#This Row],[S / L]]-Table_BDD[[#This Row],[Lvl Entrée]],1)))</f>
        <v>10</v>
      </c>
      <c r="X36" s="33">
        <f>IF(Table_BDD[[#This Row],[Position]]="","",IF(Table_BDD[[#This Row],[T / P]]=0,200,IF(Table_BDD[[#This Row],[Type]]="buy",ROUND(Table_BDD[[#This Row],[T / P]]-Table_BDD[[#This Row],[Lvl Entrée]],1),ROUND(Table_BDD[[#This Row],[Lvl Entrée]]-Table_BDD[[#This Row],[T / P]],1))))</f>
        <v>190</v>
      </c>
      <c r="Y36" s="34">
        <f>IF(Table_BDD[[#This Row],[Position]]="","",IF(Table_BDD[[#This Row],[Ecart du SL]]&gt;0,ROUND(ABS(Table_BDD[[#This Row],[Ecart du TP]])/ABS(Table_BDD[[#This Row],[Ecart du SL]]),1),ROUND(ABS(Table_BDD[[#This Row],[Ecart du TP]])/10,1)))</f>
        <v>19</v>
      </c>
      <c r="Z36" s="34">
        <f>IF(Table_BDD[[#This Row],[Position]]="","",IF(Table_BDD[[#This Row],[Ecart du SL]]&lt;0,IF(AND(Table_BDD[[#This Row],[Profit]]&gt;0,Table_BDD[[#This Row],[Type]]="sell"),ROUND((Table_BDD[[#This Row],[Lvl Entrée]]-Table_BDD[[#This Row],[Lvl Sortie]])/(10),1),IF(AND(Table_BDD[[#This Row],[Profit]]&gt;0,Table_BDD[[#This Row],[Type]]="buy"),ROUND((Table_BDD[[#This Row],[Lvl Sortie]]-Table_BDD[[#This Row],[Lvl Entrée]])/(10),1),)),IF(AND(Table_BDD[[#This Row],[Profit]]&gt;0,Table_BDD[[#This Row],[Type]]="sell"),ROUND((Table_BDD[[#This Row],[Lvl Entrée]]-Table_BDD[[#This Row],[Lvl Sortie]])/(Table_BDD[[#This Row],[S / L]]-Table_BDD[[#This Row],[Lvl Entrée]]),1),IF(AND(Table_BDD[[#This Row],[Profit]]&gt;0,Table_BDD[[#This Row],[Type]]="buy"),ROUND((Table_BDD[[#This Row],[Lvl Sortie]]-Table_BDD[[#This Row],[Lvl Entrée]])/(Table_BDD[[#This Row],[Lvl Entrée]]-Table_BDD[[#This Row],[S / L]]),1),ROUND(Table_BDD[[#This Row],[Points]]/10,1)))))</f>
        <v>-1</v>
      </c>
      <c r="AA36" s="32">
        <f>IF(Table_BDD[[#This Row],[Position]]="",AA35,Table_BDD[[#This Row],[Equité après trade]]-Table_BDD[[#This Row],[Profit]]-Table_BDD[[#This Row],[Echange]])</f>
        <v>975.86</v>
      </c>
      <c r="AB36" s="149">
        <f>$B$1+SUM($L$4:M36)</f>
        <v>971.27</v>
      </c>
      <c r="AC36" s="150">
        <f>IF(Table_BDD[[#This Row],[Position]]="","",_xlfn.MINIFS(Table_BDD[Horodatage ouverture],Table_BDD[Date],Table_BDD[Date]))</f>
        <v>43866.667986111112</v>
      </c>
      <c r="AD36" s="149">
        <f>VLOOKUP(_xlfn.MINIFS(Table_BDD[Horodatage ouverture],Table_BDD[Date],Table_BDD[Date]),Table_BDD[[Horodatage ouverture]:[Heure derniere valeur]],AA$2)</f>
        <v>1011.88</v>
      </c>
      <c r="AE36" s="149">
        <f>IF(VLOOKUP(_xlfn.MINIFS(Table_BDD[Horodatage ouverture],Table_BDD[Date],Table_BDD[Date]),Table_BDD[[Horodatage ouverture]:[Heure derniere valeur]],AA$2)=Table_BDD[[#This Row],[Equité avant trade]],VLOOKUP(_xlfn.MINIFS(Table_BDD[Horodatage ouverture],Table_BDD[Date],Table_BDD[Date]),Table_BDD[[Horodatage ouverture]:[Heure derniere valeur]],AA$2),0)</f>
        <v>0</v>
      </c>
      <c r="AF36" s="150">
        <f>IF(Table_BDD[[#This Row],[Position]]="","",_xlfn.MAXIFS(Table_BDD[Horodatage ouverture],Table_BDD[Date],Table_BDD[Date]))</f>
        <v>43866.695891203701</v>
      </c>
      <c r="AG36" s="32">
        <f>VLOOKUP(_xlfn.MAXIFS(Table_BDD[Horodatage cloture],Table_BDD[Date],Table_BDD[Date]),Table_BDD[[Horodatage ouverture]:[Heure derniere valeur]],AB$2)</f>
        <v>1017.63</v>
      </c>
      <c r="AH36" s="32">
        <f>IF(VLOOKUP(_xlfn.MAXIFS(Table_BDD[Horodatage cloture],Table_BDD[Date],Table_BDD[Date]),Table_BDD[[Horodatage ouverture]:[Heure derniere valeur]],AB$2)=Table_BDD[[#This Row],[Equité après trade]],VLOOKUP(_xlfn.MAXIFS(Table_BDD[Horodatage cloture],Table_BDD[Date],Table_BDD[Date]),Table_BDD[[Horodatage ouverture]:[Heure derniere valeur]],AB$2),0)</f>
        <v>0</v>
      </c>
      <c r="AI36" s="32" t="e">
        <f>IF(Table_BDD[[#This Row],[Valeur fin de journée unique]]=0,#N/A,Table_BDD[[#This Row],[Valeur fin de journée unique]])</f>
        <v>#N/A</v>
      </c>
      <c r="AJ36" s="35">
        <f>IF(Table_BDD[[#This Row],[Position]]="","",(Table_BDD[[#This Row],[Equité après trade]]-Table_BDD[[#This Row],[Equité avant trade]])/Table_BDD[[#This Row],[Equité avant trade]])</f>
        <v>-4.7035435410817455E-3</v>
      </c>
      <c r="AK36" s="35" t="str">
        <f>IFERROR(((INDEX(Table_BDD[[Trade n°]:[Valeur fin de journée unique]],Table_BDD[[#This Row],[Nb de trade du jour]]+Table_BDD[[#This Row],[Trade n°]]-1,21))-Table_BDD[[#This Row],[Valeur début de journée unique]])/Table_BDD[[#This Row],[Valeur début de journée unique]],"")</f>
        <v/>
      </c>
      <c r="AL36" s="32">
        <f>IF(Table_BDD[[#This Row],[Position]]="","",MAX(Table_BDD[[#This Row],[Cumul équité]],AL35))</f>
        <v>1019.44</v>
      </c>
      <c r="AM36" s="32">
        <f>IF(Table_BDD[[#This Row],[Position]]="","",MIN(Table_BDD[[#This Row],[Cumul équité]],AL35))</f>
        <v>971.27</v>
      </c>
      <c r="AN36" s="97">
        <f>IF(Table_BDD[[#This Row],[Sommet Drawdown]]&gt;AL35,"",Table_BDD[[#This Row],[Creux Drawdown]]/Table_BDD[[#This Row],[Sommet Drawdown]]-1)</f>
        <v>-4.7251432158832318E-2</v>
      </c>
      <c r="AO36" s="36">
        <f>IF(Table_BDD[[#This Row],[Position]]="","",IF(Table_BDD[[#This Row],[Type]]="buy",ROUND(Table_BDD[[#This Row],[Lvl Sortie]]-Table_BDD[[#This Row],[Lvl Entrée]],1),ROUND(Table_BDD[[#This Row],[Lvl Entrée]]-Table_BDD[[#This Row],[Lvl Sortie]],1)))</f>
        <v>-10.1</v>
      </c>
      <c r="AP36" s="36" t="str">
        <f>IF(Table_BDD[[#This Row],[Points]]&gt;0,Table_BDD[[#This Row],[Points]],"")</f>
        <v/>
      </c>
      <c r="AQ36" s="36">
        <f>IF(Table_BDD[[#This Row],[Points]]&lt;0,Table_BDD[[#This Row],[Points]],"")</f>
        <v>-10.1</v>
      </c>
      <c r="AR36" s="36">
        <f>SUM($AO$4:AO36)</f>
        <v>-63.099999999999994</v>
      </c>
      <c r="AS36" s="68">
        <f>IF(Table_BDD[[#This Row],[Position]]="","",IF(Table_BDD[[#This Row],[Conformité]]="Conforme",1,0))</f>
        <v>0</v>
      </c>
      <c r="AT36" s="68">
        <f>IF(Table_BDD[[#This Row],[Position]]="","",IF(Table_BDD[[#This Row],[Conformité]]="Non conforme",1,0))</f>
        <v>1</v>
      </c>
      <c r="AU36" s="37" t="s">
        <v>17</v>
      </c>
      <c r="AV36" s="37"/>
      <c r="AW36" s="37"/>
      <c r="AX36" s="37">
        <v>0</v>
      </c>
      <c r="AY36" s="37">
        <v>0</v>
      </c>
      <c r="AZ36" s="37">
        <v>0</v>
      </c>
      <c r="BA36" s="37" t="str">
        <f>IF(Table_BDD[[#This Row],[Position]]="","Sans objet",IF(AND(Table_BDD[[#This Row],[Type]]="sell",Table_BDD[[#This Row],[S / L]]&lt;Table_BDD[[#This Row],[Lvl Entrée]],Table_BDD[[#This Row],[Lvl Sortie]]&lt;=Table_BDD[[#This Row],[S / L]]+2,Table_BDD[[#This Row],[Lvl Sortie]]&lt;Table_BDD[[#This Row],[Lvl Entrée]]-19),"Oui",IF(AND(Table_BDD[[#This Row],[Type]]="buy",Table_BDD[[#This Row],[S / L]]&gt;Table_BDD[[#This Row],[Lvl Entrée]],Table_BDD[[#This Row],[Lvl Sortie]]&gt;=Table_BDD[[#This Row],[S / L]]-2,Table_BDD[[#This Row],[S / L]]&gt;Table_BDD[[#This Row],[Lvl Entrée]]+19),"Oui","Non")))</f>
        <v>Non</v>
      </c>
      <c r="BB36" s="37" t="str">
        <f>IF(Table_BDD[[#This Row],[Position]]="","Sans objet",IF(AND(Table_BDD[[#This Row],[Type]]="sell",Table_BDD[[#This Row],[S / L]]&lt;Table_BDD[[#This Row],[Lvl Entrée]],Table_BDD[[#This Row],[Points]]&gt;=-1),"Oui",IF(AND(Table_BDD[[#This Row],[Type]]="sell",Table_BDD[[#This Row],[S / L]]&gt;Table_BDD[[#This Row],[Lvl Entrée]]),"Non",IF(AND(Table_BDD[[#This Row],[Type]]="buy",Table_BDD[[#This Row],[S / L]]&lt;Table_BDD[[#This Row],[Lvl Entrée]]),"Non",IF(AND(Table_BDD[[#This Row],[Type]]="buy",Table_BDD[[#This Row],[S / L]]&gt;Table_BDD[[#This Row],[Lvl Entrée]],Table_BDD[[#This Row],[Points]]&gt;=-1),"Oui")))))</f>
        <v>Non</v>
      </c>
      <c r="BC36" s="37" t="str">
        <f>IF(Table_BDD[[#This Row],[Position]]="","Sans objet",IF(Table_BDD[[#This Row],[T / P]]="","Non",IF(AND(Table_BDD[[#This Row],[Type]]="sell",Table_BDD[[#This Row],[Lvl Sortie]]&lt;=Table_BDD[[#This Row],[T / P]]),"Oui",IF(AND(Table_BDD[[#This Row],[Type]]="buy",Table_BDD[[#This Row],[Lvl Sortie]]&gt;=Table_BDD[[#This Row],[T / P]]),"Oui","Non"))))</f>
        <v>Non</v>
      </c>
      <c r="BD36" s="91">
        <f t="array" ref="BD36">IFERROR(INDEX(downloadFile[#All],MATCH(Table_BDD[[#This Row],[Date]],downloadFile[[#All],[Column1]],0),2),BD35)</f>
        <v>1.1023000000000001</v>
      </c>
      <c r="BE36" s="89">
        <f>IF(Table_BDD[[#This Row],[Position]]="","",IF(Table_BDD[[#This Row],[Symbole]]="UsaInd",(Table_BDD[[#This Row],[Volume]]*Table_BDD[[#This Row],[Lvl Entrée]])/(Table_BDD[[#This Row],[Equité avant trade]]*Table_BDD[[#This Row],[EUR/USD]]),IF(Table_BDD[[#This Row],[Symbole]]="Ger30",(Table_BDD[[#This Row],[Volume]]*Table_BDD[[#This Row],[Lvl Entrée]])/Table_BDD[[#This Row],[Equité avant trade]],)))</f>
        <v>13.519804532470724</v>
      </c>
      <c r="BF36" s="38">
        <f>IF(Table_BDD[[#This Row],[Position]]="","",IF(Table_BDD[[#This Row],[Conformité]]="Non conforme",0,(MROUND(3*((Table_BDD[[#This Row],[Conviction]]+Table_BDD[[#This Row],[Timing]]+Table_BDD[[#This Row],[Sortie]])+1)-2,1))))</f>
        <v>0</v>
      </c>
      <c r="BG36" s="38" t="str">
        <f>IF(Table_BDD[[#This Row],[Position]]="","",IF(Table_BDD[[#This Row],[Points]]&lt;-5,"--",IF(AND(Table_BDD[[#This Row],[Points]]&gt;=-5,Table_BDD[[#This Row],[Points]]&lt;-1.5),"-",IF(AND(Table_BDD[[#This Row],[Points]]&gt;=-1.5,Table_BDD[[#This Row],[Points]]&lt;1.5),"0",IF(AND(Table_BDD[[#This Row],[Points]]&gt;=1.5,Table_BDD[[#This Row],[Points]]&lt;=70),"+",IF(Table_BDD[[#This Row],[Points]]&gt;70,"++"))))))</f>
        <v>--</v>
      </c>
      <c r="BH36" s="37" t="str">
        <f>IF(Table_BDD[[#This Row],[Position]]="","",IF(Table_BDD[[#This Row],[Points]]&gt;0,"Gagnant",IF(Table_BDD[[#This Row],[Points]]=0,"Flat","Perdant")))</f>
        <v>Perdant</v>
      </c>
      <c r="BI36" s="40">
        <f>IF(Table_BDD[[#This Row],[Position]]="","",IF(Table_BDD[[#This Row],[Résultat]]="Gagnant",1,0))</f>
        <v>0</v>
      </c>
      <c r="BJ36" s="40">
        <f>IF(Table_BDD[[#This Row],[Position]]="","",IF(Table_BDD[[#This Row],[Résultat]]="Perdant",1,0))</f>
        <v>1</v>
      </c>
      <c r="BK36" s="40"/>
      <c r="BL36" s="145">
        <f>IF(Table_BDD[[#This Row],[T / P]]="","",Table_BDD[[#This Row],[T / P]])</f>
        <v>29276.25</v>
      </c>
      <c r="BM36" s="147"/>
      <c r="BN36" s="147"/>
      <c r="BO36" s="147"/>
      <c r="BP36" s="147"/>
      <c r="BQ36" s="127"/>
    </row>
    <row r="37" spans="1:69" x14ac:dyDescent="0.2">
      <c r="A37" s="93">
        <v>43866.677604166667</v>
      </c>
      <c r="B37" s="94">
        <v>259508571</v>
      </c>
      <c r="C37" s="37" t="s">
        <v>8</v>
      </c>
      <c r="D37" s="37" t="s">
        <v>9</v>
      </c>
      <c r="E37" s="37">
        <v>0.5</v>
      </c>
      <c r="F37" s="95">
        <v>29076</v>
      </c>
      <c r="G37" s="95">
        <v>29066.25</v>
      </c>
      <c r="H37" s="95"/>
      <c r="I37" s="28">
        <v>43866.677789351852</v>
      </c>
      <c r="J37" s="95">
        <v>29065</v>
      </c>
      <c r="K37" s="95">
        <v>0</v>
      </c>
      <c r="L37" s="95">
        <v>0</v>
      </c>
      <c r="M37" s="32">
        <v>-5</v>
      </c>
      <c r="N37" s="148">
        <f>IF(Table_BDD[[#This Row],[Position]]="","",ROW()-3)</f>
        <v>34</v>
      </c>
      <c r="O37" s="32">
        <f>SUM($L$4:M37)</f>
        <v>-33.730000000000004</v>
      </c>
      <c r="P37" s="32">
        <f>Table_BDD[[#This Row],[Equité avant trade]]+Table_BDD[[#This Row],[Profit]]+Table_BDD[[#This Row],[Echange]]</f>
        <v>966.27</v>
      </c>
      <c r="Q37" s="52">
        <f>INT(Table_BDD[[#This Row],[Horodatage cloture]])</f>
        <v>43866</v>
      </c>
      <c r="R37" s="34">
        <f>WEEKNUM(Table_BDD[[#This Row],[Horodatage cloture]],2)</f>
        <v>6</v>
      </c>
      <c r="S37" s="61">
        <f>WEEKDAY(Table_BDD[[#This Row],[Horodatage cloture]])</f>
        <v>4</v>
      </c>
      <c r="T37" s="63">
        <f>HOUR(Table_BDD[[#This Row],[Horodatage cloture]])</f>
        <v>16</v>
      </c>
      <c r="U37" s="68">
        <f>IF(Table_BDD[[#This Row],[Position]]="","",IF(Table_BDD[[#This Row],[Valeur début de journée unique]]&lt;&gt;0,1,0))</f>
        <v>0</v>
      </c>
      <c r="V37" s="68" t="str">
        <f>IF(Table_BDD[[#This Row],[Nb de séance de trading]]=1,COUNTIF(Table_BDD[Date],Table_BDD[[#This Row],[Date]]),"")</f>
        <v/>
      </c>
      <c r="W37" s="33">
        <f>IF(Table_BDD[[#This Row],[Position]]="","",IF(Table_BDD[[#This Row],[Type]]="buy",ROUND(Table_BDD[[#This Row],[Lvl Entrée]]-Table_BDD[[#This Row],[S / L]],1),ROUND(Table_BDD[[#This Row],[S / L]]-Table_BDD[[#This Row],[Lvl Entrée]],1)))</f>
        <v>9.8000000000000007</v>
      </c>
      <c r="X37" s="33">
        <f>IF(Table_BDD[[#This Row],[Position]]="","",IF(Table_BDD[[#This Row],[T / P]]=0,200,IF(Table_BDD[[#This Row],[Type]]="buy",ROUND(Table_BDD[[#This Row],[T / P]]-Table_BDD[[#This Row],[Lvl Entrée]],1),ROUND(Table_BDD[[#This Row],[Lvl Entrée]]-Table_BDD[[#This Row],[T / P]],1))))</f>
        <v>200</v>
      </c>
      <c r="Y37" s="34">
        <f>IF(Table_BDD[[#This Row],[Position]]="","",IF(Table_BDD[[#This Row],[Ecart du SL]]&gt;0,ROUND(ABS(Table_BDD[[#This Row],[Ecart du TP]])/ABS(Table_BDD[[#This Row],[Ecart du SL]]),1),ROUND(ABS(Table_BDD[[#This Row],[Ecart du TP]])/10,1)))</f>
        <v>20.399999999999999</v>
      </c>
      <c r="Z37" s="34">
        <f>IF(Table_BDD[[#This Row],[Position]]="","",IF(Table_BDD[[#This Row],[Ecart du SL]]&lt;0,IF(AND(Table_BDD[[#This Row],[Profit]]&gt;0,Table_BDD[[#This Row],[Type]]="sell"),ROUND((Table_BDD[[#This Row],[Lvl Entrée]]-Table_BDD[[#This Row],[Lvl Sortie]])/(10),1),IF(AND(Table_BDD[[#This Row],[Profit]]&gt;0,Table_BDD[[#This Row],[Type]]="buy"),ROUND((Table_BDD[[#This Row],[Lvl Sortie]]-Table_BDD[[#This Row],[Lvl Entrée]])/(10),1),)),IF(AND(Table_BDD[[#This Row],[Profit]]&gt;0,Table_BDD[[#This Row],[Type]]="sell"),ROUND((Table_BDD[[#This Row],[Lvl Entrée]]-Table_BDD[[#This Row],[Lvl Sortie]])/(Table_BDD[[#This Row],[S / L]]-Table_BDD[[#This Row],[Lvl Entrée]]),1),IF(AND(Table_BDD[[#This Row],[Profit]]&gt;0,Table_BDD[[#This Row],[Type]]="buy"),ROUND((Table_BDD[[#This Row],[Lvl Sortie]]-Table_BDD[[#This Row],[Lvl Entrée]])/(Table_BDD[[#This Row],[Lvl Entrée]]-Table_BDD[[#This Row],[S / L]]),1),ROUND(Table_BDD[[#This Row],[Points]]/10,1)))))</f>
        <v>-1.1000000000000001</v>
      </c>
      <c r="AA37" s="32">
        <f>IF(Table_BDD[[#This Row],[Position]]="",AA36,Table_BDD[[#This Row],[Equité après trade]]-Table_BDD[[#This Row],[Profit]]-Table_BDD[[#This Row],[Echange]])</f>
        <v>971.27</v>
      </c>
      <c r="AB37" s="149">
        <f>$B$1+SUM($L$4:M37)</f>
        <v>966.27</v>
      </c>
      <c r="AC37" s="150">
        <f>IF(Table_BDD[[#This Row],[Position]]="","",_xlfn.MINIFS(Table_BDD[Horodatage ouverture],Table_BDD[Date],Table_BDD[Date]))</f>
        <v>43866.667986111112</v>
      </c>
      <c r="AD37" s="149">
        <f>VLOOKUP(_xlfn.MINIFS(Table_BDD[Horodatage ouverture],Table_BDD[Date],Table_BDD[Date]),Table_BDD[[Horodatage ouverture]:[Heure derniere valeur]],AA$2)</f>
        <v>1011.88</v>
      </c>
      <c r="AE37" s="149">
        <f>IF(VLOOKUP(_xlfn.MINIFS(Table_BDD[Horodatage ouverture],Table_BDD[Date],Table_BDD[Date]),Table_BDD[[Horodatage ouverture]:[Heure derniere valeur]],AA$2)=Table_BDD[[#This Row],[Equité avant trade]],VLOOKUP(_xlfn.MINIFS(Table_BDD[Horodatage ouverture],Table_BDD[Date],Table_BDD[Date]),Table_BDD[[Horodatage ouverture]:[Heure derniere valeur]],AA$2),0)</f>
        <v>0</v>
      </c>
      <c r="AF37" s="150">
        <f>IF(Table_BDD[[#This Row],[Position]]="","",_xlfn.MAXIFS(Table_BDD[Horodatage ouverture],Table_BDD[Date],Table_BDD[Date]))</f>
        <v>43866.695891203701</v>
      </c>
      <c r="AG37" s="32">
        <f>VLOOKUP(_xlfn.MAXIFS(Table_BDD[Horodatage cloture],Table_BDD[Date],Table_BDD[Date]),Table_BDD[[Horodatage ouverture]:[Heure derniere valeur]],AB$2)</f>
        <v>1017.63</v>
      </c>
      <c r="AH37" s="32">
        <f>IF(VLOOKUP(_xlfn.MAXIFS(Table_BDD[Horodatage cloture],Table_BDD[Date],Table_BDD[Date]),Table_BDD[[Horodatage ouverture]:[Heure derniere valeur]],AB$2)=Table_BDD[[#This Row],[Equité après trade]],VLOOKUP(_xlfn.MAXIFS(Table_BDD[Horodatage cloture],Table_BDD[Date],Table_BDD[Date]),Table_BDD[[Horodatage ouverture]:[Heure derniere valeur]],AB$2),0)</f>
        <v>0</v>
      </c>
      <c r="AI37" s="32" t="e">
        <f>IF(Table_BDD[[#This Row],[Valeur fin de journée unique]]=0,#N/A,Table_BDD[[#This Row],[Valeur fin de journée unique]])</f>
        <v>#N/A</v>
      </c>
      <c r="AJ37" s="35">
        <f>IF(Table_BDD[[#This Row],[Position]]="","",(Table_BDD[[#This Row],[Equité après trade]]-Table_BDD[[#This Row],[Equité avant trade]])/Table_BDD[[#This Row],[Equité avant trade]])</f>
        <v>-5.1478991423600032E-3</v>
      </c>
      <c r="AK37" s="35" t="str">
        <f>IFERROR(((INDEX(Table_BDD[[Trade n°]:[Valeur fin de journée unique]],Table_BDD[[#This Row],[Nb de trade du jour]]+Table_BDD[[#This Row],[Trade n°]]-1,21))-Table_BDD[[#This Row],[Valeur début de journée unique]])/Table_BDD[[#This Row],[Valeur début de journée unique]],"")</f>
        <v/>
      </c>
      <c r="AL37" s="32">
        <f>IF(Table_BDD[[#This Row],[Position]]="","",MAX(Table_BDD[[#This Row],[Cumul équité]],AL36))</f>
        <v>1019.44</v>
      </c>
      <c r="AM37" s="32">
        <f>IF(Table_BDD[[#This Row],[Position]]="","",MIN(Table_BDD[[#This Row],[Cumul équité]],AL36))</f>
        <v>966.27</v>
      </c>
      <c r="AN37" s="97">
        <f>IF(Table_BDD[[#This Row],[Sommet Drawdown]]&gt;AL36,"",Table_BDD[[#This Row],[Creux Drawdown]]/Table_BDD[[#This Row],[Sommet Drawdown]]-1)</f>
        <v>-5.215608569410668E-2</v>
      </c>
      <c r="AO37" s="36">
        <f>IF(Table_BDD[[#This Row],[Position]]="","",IF(Table_BDD[[#This Row],[Type]]="buy",ROUND(Table_BDD[[#This Row],[Lvl Sortie]]-Table_BDD[[#This Row],[Lvl Entrée]],1),ROUND(Table_BDD[[#This Row],[Lvl Entrée]]-Table_BDD[[#This Row],[Lvl Sortie]],1)))</f>
        <v>-11</v>
      </c>
      <c r="AP37" s="36" t="str">
        <f>IF(Table_BDD[[#This Row],[Points]]&gt;0,Table_BDD[[#This Row],[Points]],"")</f>
        <v/>
      </c>
      <c r="AQ37" s="36">
        <f>IF(Table_BDD[[#This Row],[Points]]&lt;0,Table_BDD[[#This Row],[Points]],"")</f>
        <v>-11</v>
      </c>
      <c r="AR37" s="36">
        <f>SUM($AO$4:AO37)</f>
        <v>-74.099999999999994</v>
      </c>
      <c r="AS37" s="68">
        <f>IF(Table_BDD[[#This Row],[Position]]="","",IF(Table_BDD[[#This Row],[Conformité]]="Conforme",1,0))</f>
        <v>0</v>
      </c>
      <c r="AT37" s="68">
        <f>IF(Table_BDD[[#This Row],[Position]]="","",IF(Table_BDD[[#This Row],[Conformité]]="Non conforme",1,0))</f>
        <v>1</v>
      </c>
      <c r="AU37" s="37" t="s">
        <v>17</v>
      </c>
      <c r="AV37" s="37"/>
      <c r="AW37" s="37"/>
      <c r="AX37" s="37">
        <v>0</v>
      </c>
      <c r="AY37" s="37">
        <v>0</v>
      </c>
      <c r="AZ37" s="37">
        <v>0</v>
      </c>
      <c r="BA37" s="37" t="str">
        <f>IF(Table_BDD[[#This Row],[Position]]="","Sans objet",IF(AND(Table_BDD[[#This Row],[Type]]="sell",Table_BDD[[#This Row],[S / L]]&lt;Table_BDD[[#This Row],[Lvl Entrée]],Table_BDD[[#This Row],[Lvl Sortie]]&lt;=Table_BDD[[#This Row],[S / L]]+2,Table_BDD[[#This Row],[Lvl Sortie]]&lt;Table_BDD[[#This Row],[Lvl Entrée]]-19),"Oui",IF(AND(Table_BDD[[#This Row],[Type]]="buy",Table_BDD[[#This Row],[S / L]]&gt;Table_BDD[[#This Row],[Lvl Entrée]],Table_BDD[[#This Row],[Lvl Sortie]]&gt;=Table_BDD[[#This Row],[S / L]]-2,Table_BDD[[#This Row],[S / L]]&gt;Table_BDD[[#This Row],[Lvl Entrée]]+19),"Oui","Non")))</f>
        <v>Non</v>
      </c>
      <c r="BB37" s="37" t="str">
        <f>IF(Table_BDD[[#This Row],[Position]]="","Sans objet",IF(AND(Table_BDD[[#This Row],[Type]]="sell",Table_BDD[[#This Row],[S / L]]&lt;Table_BDD[[#This Row],[Lvl Entrée]],Table_BDD[[#This Row],[Points]]&gt;=-1),"Oui",IF(AND(Table_BDD[[#This Row],[Type]]="sell",Table_BDD[[#This Row],[S / L]]&gt;Table_BDD[[#This Row],[Lvl Entrée]]),"Non",IF(AND(Table_BDD[[#This Row],[Type]]="buy",Table_BDD[[#This Row],[S / L]]&lt;Table_BDD[[#This Row],[Lvl Entrée]]),"Non",IF(AND(Table_BDD[[#This Row],[Type]]="buy",Table_BDD[[#This Row],[S / L]]&gt;Table_BDD[[#This Row],[Lvl Entrée]],Table_BDD[[#This Row],[Points]]&gt;=-1),"Oui")))))</f>
        <v>Non</v>
      </c>
      <c r="BC37" s="37" t="str">
        <f>IF(Table_BDD[[#This Row],[Position]]="","Sans objet",IF(Table_BDD[[#This Row],[T / P]]="","Non",IF(AND(Table_BDD[[#This Row],[Type]]="sell",Table_BDD[[#This Row],[Lvl Sortie]]&lt;=Table_BDD[[#This Row],[T / P]]),"Oui",IF(AND(Table_BDD[[#This Row],[Type]]="buy",Table_BDD[[#This Row],[Lvl Sortie]]&gt;=Table_BDD[[#This Row],[T / P]]),"Oui","Non"))))</f>
        <v>Non</v>
      </c>
      <c r="BD37" s="91">
        <f t="array" ref="BD37">IFERROR(INDEX(downloadFile[#All],MATCH(Table_BDD[[#This Row],[Date]],downloadFile[[#All],[Column1]],0),2),BD36)</f>
        <v>1.1023000000000001</v>
      </c>
      <c r="BE37" s="89">
        <f>IF(Table_BDD[[#This Row],[Position]]="","",IF(Table_BDD[[#This Row],[Symbole]]="UsaInd",(Table_BDD[[#This Row],[Volume]]*Table_BDD[[#This Row],[Lvl Entrée]])/(Table_BDD[[#This Row],[Equité avant trade]]*Table_BDD[[#This Row],[EUR/USD]]),IF(Table_BDD[[#This Row],[Symbole]]="Ger30",(Table_BDD[[#This Row],[Volume]]*Table_BDD[[#This Row],[Lvl Entrée]])/Table_BDD[[#This Row],[Equité avant trade]],)))</f>
        <v>13.578909141182931</v>
      </c>
      <c r="BF37" s="38">
        <f>IF(Table_BDD[[#This Row],[Position]]="","",IF(Table_BDD[[#This Row],[Conformité]]="Non conforme",0,(MROUND(3*((Table_BDD[[#This Row],[Conviction]]+Table_BDD[[#This Row],[Timing]]+Table_BDD[[#This Row],[Sortie]])+1)-2,1))))</f>
        <v>0</v>
      </c>
      <c r="BG37" s="38" t="str">
        <f>IF(Table_BDD[[#This Row],[Position]]="","",IF(Table_BDD[[#This Row],[Points]]&lt;-5,"--",IF(AND(Table_BDD[[#This Row],[Points]]&gt;=-5,Table_BDD[[#This Row],[Points]]&lt;-1.5),"-",IF(AND(Table_BDD[[#This Row],[Points]]&gt;=-1.5,Table_BDD[[#This Row],[Points]]&lt;1.5),"0",IF(AND(Table_BDD[[#This Row],[Points]]&gt;=1.5,Table_BDD[[#This Row],[Points]]&lt;=70),"+",IF(Table_BDD[[#This Row],[Points]]&gt;70,"++"))))))</f>
        <v>--</v>
      </c>
      <c r="BH37" s="37" t="str">
        <f>IF(Table_BDD[[#This Row],[Position]]="","",IF(Table_BDD[[#This Row],[Points]]&gt;0,"Gagnant",IF(Table_BDD[[#This Row],[Points]]=0,"Flat","Perdant")))</f>
        <v>Perdant</v>
      </c>
      <c r="BI37" s="40">
        <f>IF(Table_BDD[[#This Row],[Position]]="","",IF(Table_BDD[[#This Row],[Résultat]]="Gagnant",1,0))</f>
        <v>0</v>
      </c>
      <c r="BJ37" s="40">
        <f>IF(Table_BDD[[#This Row],[Position]]="","",IF(Table_BDD[[#This Row],[Résultat]]="Perdant",1,0))</f>
        <v>1</v>
      </c>
      <c r="BK37" s="40"/>
      <c r="BL37" s="145" t="str">
        <f>IF(Table_BDD[[#This Row],[T / P]]="","",Table_BDD[[#This Row],[T / P]])</f>
        <v/>
      </c>
      <c r="BM37" s="147"/>
      <c r="BN37" s="147"/>
      <c r="BO37" s="147"/>
      <c r="BP37" s="147"/>
      <c r="BQ37" s="127"/>
    </row>
    <row r="38" spans="1:69" x14ac:dyDescent="0.2">
      <c r="A38" s="93">
        <v>43866.677789351852</v>
      </c>
      <c r="B38" s="94">
        <v>259508397</v>
      </c>
      <c r="C38" s="37" t="s">
        <v>8</v>
      </c>
      <c r="D38" s="37" t="s">
        <v>9</v>
      </c>
      <c r="E38" s="37">
        <v>0.5</v>
      </c>
      <c r="F38" s="95">
        <v>29065.23</v>
      </c>
      <c r="G38" s="95">
        <v>29055.74</v>
      </c>
      <c r="H38" s="95">
        <v>29265.23</v>
      </c>
      <c r="I38" s="28">
        <v>43866.685104166667</v>
      </c>
      <c r="J38" s="95">
        <v>29055.26</v>
      </c>
      <c r="K38" s="95">
        <v>0</v>
      </c>
      <c r="L38" s="95">
        <v>0</v>
      </c>
      <c r="M38" s="32">
        <v>-4.53</v>
      </c>
      <c r="N38" s="148">
        <f>IF(Table_BDD[[#This Row],[Position]]="","",ROW()-3)</f>
        <v>35</v>
      </c>
      <c r="O38" s="32">
        <f>SUM($L$4:M38)</f>
        <v>-38.260000000000005</v>
      </c>
      <c r="P38" s="32">
        <f>Table_BDD[[#This Row],[Equité avant trade]]+Table_BDD[[#This Row],[Profit]]+Table_BDD[[#This Row],[Echange]]</f>
        <v>961.74</v>
      </c>
      <c r="Q38" s="52">
        <f>INT(Table_BDD[[#This Row],[Horodatage cloture]])</f>
        <v>43866</v>
      </c>
      <c r="R38" s="34">
        <f>WEEKNUM(Table_BDD[[#This Row],[Horodatage cloture]],2)</f>
        <v>6</v>
      </c>
      <c r="S38" s="61">
        <f>WEEKDAY(Table_BDD[[#This Row],[Horodatage cloture]])</f>
        <v>4</v>
      </c>
      <c r="T38" s="63">
        <f>HOUR(Table_BDD[[#This Row],[Horodatage cloture]])</f>
        <v>16</v>
      </c>
      <c r="U38" s="68">
        <f>IF(Table_BDD[[#This Row],[Position]]="","",IF(Table_BDD[[#This Row],[Valeur début de journée unique]]&lt;&gt;0,1,0))</f>
        <v>0</v>
      </c>
      <c r="V38" s="68" t="str">
        <f>IF(Table_BDD[[#This Row],[Nb de séance de trading]]=1,COUNTIF(Table_BDD[Date],Table_BDD[[#This Row],[Date]]),"")</f>
        <v/>
      </c>
      <c r="W38" s="33">
        <f>IF(Table_BDD[[#This Row],[Position]]="","",IF(Table_BDD[[#This Row],[Type]]="buy",ROUND(Table_BDD[[#This Row],[Lvl Entrée]]-Table_BDD[[#This Row],[S / L]],1),ROUND(Table_BDD[[#This Row],[S / L]]-Table_BDD[[#This Row],[Lvl Entrée]],1)))</f>
        <v>9.5</v>
      </c>
      <c r="X38" s="33">
        <f>IF(Table_BDD[[#This Row],[Position]]="","",IF(Table_BDD[[#This Row],[T / P]]=0,200,IF(Table_BDD[[#This Row],[Type]]="buy",ROUND(Table_BDD[[#This Row],[T / P]]-Table_BDD[[#This Row],[Lvl Entrée]],1),ROUND(Table_BDD[[#This Row],[Lvl Entrée]]-Table_BDD[[#This Row],[T / P]],1))))</f>
        <v>200</v>
      </c>
      <c r="Y38" s="34">
        <f>IF(Table_BDD[[#This Row],[Position]]="","",IF(Table_BDD[[#This Row],[Ecart du SL]]&gt;0,ROUND(ABS(Table_BDD[[#This Row],[Ecart du TP]])/ABS(Table_BDD[[#This Row],[Ecart du SL]]),1),ROUND(ABS(Table_BDD[[#This Row],[Ecart du TP]])/10,1)))</f>
        <v>21.1</v>
      </c>
      <c r="Z38" s="34">
        <f>IF(Table_BDD[[#This Row],[Position]]="","",IF(Table_BDD[[#This Row],[Ecart du SL]]&lt;0,IF(AND(Table_BDD[[#This Row],[Profit]]&gt;0,Table_BDD[[#This Row],[Type]]="sell"),ROUND((Table_BDD[[#This Row],[Lvl Entrée]]-Table_BDD[[#This Row],[Lvl Sortie]])/(10),1),IF(AND(Table_BDD[[#This Row],[Profit]]&gt;0,Table_BDD[[#This Row],[Type]]="buy"),ROUND((Table_BDD[[#This Row],[Lvl Sortie]]-Table_BDD[[#This Row],[Lvl Entrée]])/(10),1),)),IF(AND(Table_BDD[[#This Row],[Profit]]&gt;0,Table_BDD[[#This Row],[Type]]="sell"),ROUND((Table_BDD[[#This Row],[Lvl Entrée]]-Table_BDD[[#This Row],[Lvl Sortie]])/(Table_BDD[[#This Row],[S / L]]-Table_BDD[[#This Row],[Lvl Entrée]]),1),IF(AND(Table_BDD[[#This Row],[Profit]]&gt;0,Table_BDD[[#This Row],[Type]]="buy"),ROUND((Table_BDD[[#This Row],[Lvl Sortie]]-Table_BDD[[#This Row],[Lvl Entrée]])/(Table_BDD[[#This Row],[Lvl Entrée]]-Table_BDD[[#This Row],[S / L]]),1),ROUND(Table_BDD[[#This Row],[Points]]/10,1)))))</f>
        <v>-1</v>
      </c>
      <c r="AA38" s="32">
        <f>IF(Table_BDD[[#This Row],[Position]]="",AA37,Table_BDD[[#This Row],[Equité après trade]]-Table_BDD[[#This Row],[Profit]]-Table_BDD[[#This Row],[Echange]])</f>
        <v>966.27</v>
      </c>
      <c r="AB38" s="149">
        <f>$B$1+SUM($L$4:M38)</f>
        <v>961.74</v>
      </c>
      <c r="AC38" s="150">
        <f>IF(Table_BDD[[#This Row],[Position]]="","",_xlfn.MINIFS(Table_BDD[Horodatage ouverture],Table_BDD[Date],Table_BDD[Date]))</f>
        <v>43866.667986111112</v>
      </c>
      <c r="AD38" s="149">
        <f>VLOOKUP(_xlfn.MINIFS(Table_BDD[Horodatage ouverture],Table_BDD[Date],Table_BDD[Date]),Table_BDD[[Horodatage ouverture]:[Heure derniere valeur]],AA$2)</f>
        <v>1011.88</v>
      </c>
      <c r="AE38" s="149">
        <f>IF(VLOOKUP(_xlfn.MINIFS(Table_BDD[Horodatage ouverture],Table_BDD[Date],Table_BDD[Date]),Table_BDD[[Horodatage ouverture]:[Heure derniere valeur]],AA$2)=Table_BDD[[#This Row],[Equité avant trade]],VLOOKUP(_xlfn.MINIFS(Table_BDD[Horodatage ouverture],Table_BDD[Date],Table_BDD[Date]),Table_BDD[[Horodatage ouverture]:[Heure derniere valeur]],AA$2),0)</f>
        <v>0</v>
      </c>
      <c r="AF38" s="150">
        <f>IF(Table_BDD[[#This Row],[Position]]="","",_xlfn.MAXIFS(Table_BDD[Horodatage ouverture],Table_BDD[Date],Table_BDD[Date]))</f>
        <v>43866.695891203701</v>
      </c>
      <c r="AG38" s="32">
        <f>VLOOKUP(_xlfn.MAXIFS(Table_BDD[Horodatage cloture],Table_BDD[Date],Table_BDD[Date]),Table_BDD[[Horodatage ouverture]:[Heure derniere valeur]],AB$2)</f>
        <v>1017.63</v>
      </c>
      <c r="AH38" s="32">
        <f>IF(VLOOKUP(_xlfn.MAXIFS(Table_BDD[Horodatage cloture],Table_BDD[Date],Table_BDD[Date]),Table_BDD[[Horodatage ouverture]:[Heure derniere valeur]],AB$2)=Table_BDD[[#This Row],[Equité après trade]],VLOOKUP(_xlfn.MAXIFS(Table_BDD[Horodatage cloture],Table_BDD[Date],Table_BDD[Date]),Table_BDD[[Horodatage ouverture]:[Heure derniere valeur]],AB$2),0)</f>
        <v>0</v>
      </c>
      <c r="AI38" s="32" t="e">
        <f>IF(Table_BDD[[#This Row],[Valeur fin de journée unique]]=0,#N/A,Table_BDD[[#This Row],[Valeur fin de journée unique]])</f>
        <v>#N/A</v>
      </c>
      <c r="AJ38" s="35">
        <f>IF(Table_BDD[[#This Row],[Position]]="","",(Table_BDD[[#This Row],[Equité après trade]]-Table_BDD[[#This Row],[Equité avant trade]])/Table_BDD[[#This Row],[Equité avant trade]])</f>
        <v>-4.6881306467136232E-3</v>
      </c>
      <c r="AK38" s="35" t="str">
        <f>IFERROR(((INDEX(Table_BDD[[Trade n°]:[Valeur fin de journée unique]],Table_BDD[[#This Row],[Nb de trade du jour]]+Table_BDD[[#This Row],[Trade n°]]-1,21))-Table_BDD[[#This Row],[Valeur début de journée unique]])/Table_BDD[[#This Row],[Valeur début de journée unique]],"")</f>
        <v/>
      </c>
      <c r="AL38" s="32">
        <f>IF(Table_BDD[[#This Row],[Position]]="","",MAX(Table_BDD[[#This Row],[Cumul équité]],AL37))</f>
        <v>1019.44</v>
      </c>
      <c r="AM38" s="32">
        <f>IF(Table_BDD[[#This Row],[Position]]="","",MIN(Table_BDD[[#This Row],[Cumul équité]],AL37))</f>
        <v>961.74</v>
      </c>
      <c r="AN38" s="97">
        <f>IF(Table_BDD[[#This Row],[Sommet Drawdown]]&gt;AL37,"",Table_BDD[[#This Row],[Creux Drawdown]]/Table_BDD[[#This Row],[Sommet Drawdown]]-1)</f>
        <v>-5.6599701797065083E-2</v>
      </c>
      <c r="AO38" s="36">
        <f>IF(Table_BDD[[#This Row],[Position]]="","",IF(Table_BDD[[#This Row],[Type]]="buy",ROUND(Table_BDD[[#This Row],[Lvl Sortie]]-Table_BDD[[#This Row],[Lvl Entrée]],1),ROUND(Table_BDD[[#This Row],[Lvl Entrée]]-Table_BDD[[#This Row],[Lvl Sortie]],1)))</f>
        <v>-10</v>
      </c>
      <c r="AP38" s="36" t="str">
        <f>IF(Table_BDD[[#This Row],[Points]]&gt;0,Table_BDD[[#This Row],[Points]],"")</f>
        <v/>
      </c>
      <c r="AQ38" s="36">
        <f>IF(Table_BDD[[#This Row],[Points]]&lt;0,Table_BDD[[#This Row],[Points]],"")</f>
        <v>-10</v>
      </c>
      <c r="AR38" s="36">
        <f>SUM($AO$4:AO38)</f>
        <v>-84.1</v>
      </c>
      <c r="AS38" s="68">
        <f>IF(Table_BDD[[#This Row],[Position]]="","",IF(Table_BDD[[#This Row],[Conformité]]="Conforme",1,0))</f>
        <v>0</v>
      </c>
      <c r="AT38" s="68">
        <f>IF(Table_BDD[[#This Row],[Position]]="","",IF(Table_BDD[[#This Row],[Conformité]]="Non conforme",1,0))</f>
        <v>1</v>
      </c>
      <c r="AU38" s="37" t="s">
        <v>17</v>
      </c>
      <c r="AV38" s="37"/>
      <c r="AW38" s="37"/>
      <c r="AX38" s="37">
        <v>0</v>
      </c>
      <c r="AY38" s="37">
        <v>0</v>
      </c>
      <c r="AZ38" s="37">
        <v>0</v>
      </c>
      <c r="BA38" s="37" t="str">
        <f>IF(Table_BDD[[#This Row],[Position]]="","Sans objet",IF(AND(Table_BDD[[#This Row],[Type]]="sell",Table_BDD[[#This Row],[S / L]]&lt;Table_BDD[[#This Row],[Lvl Entrée]],Table_BDD[[#This Row],[Lvl Sortie]]&lt;=Table_BDD[[#This Row],[S / L]]+2,Table_BDD[[#This Row],[Lvl Sortie]]&lt;Table_BDD[[#This Row],[Lvl Entrée]]-19),"Oui",IF(AND(Table_BDD[[#This Row],[Type]]="buy",Table_BDD[[#This Row],[S / L]]&gt;Table_BDD[[#This Row],[Lvl Entrée]],Table_BDD[[#This Row],[Lvl Sortie]]&gt;=Table_BDD[[#This Row],[S / L]]-2,Table_BDD[[#This Row],[S / L]]&gt;Table_BDD[[#This Row],[Lvl Entrée]]+19),"Oui","Non")))</f>
        <v>Non</v>
      </c>
      <c r="BB38" s="37" t="str">
        <f>IF(Table_BDD[[#This Row],[Position]]="","Sans objet",IF(AND(Table_BDD[[#This Row],[Type]]="sell",Table_BDD[[#This Row],[S / L]]&lt;Table_BDD[[#This Row],[Lvl Entrée]],Table_BDD[[#This Row],[Points]]&gt;=-1),"Oui",IF(AND(Table_BDD[[#This Row],[Type]]="sell",Table_BDD[[#This Row],[S / L]]&gt;Table_BDD[[#This Row],[Lvl Entrée]]),"Non",IF(AND(Table_BDD[[#This Row],[Type]]="buy",Table_BDD[[#This Row],[S / L]]&lt;Table_BDD[[#This Row],[Lvl Entrée]]),"Non",IF(AND(Table_BDD[[#This Row],[Type]]="buy",Table_BDD[[#This Row],[S / L]]&gt;Table_BDD[[#This Row],[Lvl Entrée]],Table_BDD[[#This Row],[Points]]&gt;=-1),"Oui")))))</f>
        <v>Non</v>
      </c>
      <c r="BC38" s="37" t="str">
        <f>IF(Table_BDD[[#This Row],[Position]]="","Sans objet",IF(Table_BDD[[#This Row],[T / P]]="","Non",IF(AND(Table_BDD[[#This Row],[Type]]="sell",Table_BDD[[#This Row],[Lvl Sortie]]&lt;=Table_BDD[[#This Row],[T / P]]),"Oui",IF(AND(Table_BDD[[#This Row],[Type]]="buy",Table_BDD[[#This Row],[Lvl Sortie]]&gt;=Table_BDD[[#This Row],[T / P]]),"Oui","Non"))))</f>
        <v>Non</v>
      </c>
      <c r="BD38" s="91">
        <f t="array" ref="BD38">IFERROR(INDEX(downloadFile[#All],MATCH(Table_BDD[[#This Row],[Date]],downloadFile[[#All],[Column1]],0),2),BD37)</f>
        <v>1.1023000000000001</v>
      </c>
      <c r="BE38" s="89">
        <f>IF(Table_BDD[[#This Row],[Position]]="","",IF(Table_BDD[[#This Row],[Symbole]]="UsaInd",(Table_BDD[[#This Row],[Volume]]*Table_BDD[[#This Row],[Lvl Entrée]])/(Table_BDD[[#This Row],[Equité avant trade]]*Table_BDD[[#This Row],[EUR/USD]]),IF(Table_BDD[[#This Row],[Symbole]]="Ger30",(Table_BDD[[#This Row],[Volume]]*Table_BDD[[#This Row],[Lvl Entrée]])/Table_BDD[[#This Row],[Equité avant trade]],)))</f>
        <v>13.644117939710348</v>
      </c>
      <c r="BF38" s="38">
        <f>IF(Table_BDD[[#This Row],[Position]]="","",IF(Table_BDD[[#This Row],[Conformité]]="Non conforme",0,(MROUND(3*((Table_BDD[[#This Row],[Conviction]]+Table_BDD[[#This Row],[Timing]]+Table_BDD[[#This Row],[Sortie]])+1)-2,1))))</f>
        <v>0</v>
      </c>
      <c r="BG38" s="38" t="str">
        <f>IF(Table_BDD[[#This Row],[Position]]="","",IF(Table_BDD[[#This Row],[Points]]&lt;-5,"--",IF(AND(Table_BDD[[#This Row],[Points]]&gt;=-5,Table_BDD[[#This Row],[Points]]&lt;-1.5),"-",IF(AND(Table_BDD[[#This Row],[Points]]&gt;=-1.5,Table_BDD[[#This Row],[Points]]&lt;1.5),"0",IF(AND(Table_BDD[[#This Row],[Points]]&gt;=1.5,Table_BDD[[#This Row],[Points]]&lt;=70),"+",IF(Table_BDD[[#This Row],[Points]]&gt;70,"++"))))))</f>
        <v>--</v>
      </c>
      <c r="BH38" s="37" t="str">
        <f>IF(Table_BDD[[#This Row],[Position]]="","",IF(Table_BDD[[#This Row],[Points]]&gt;0,"Gagnant",IF(Table_BDD[[#This Row],[Points]]=0,"Flat","Perdant")))</f>
        <v>Perdant</v>
      </c>
      <c r="BI38" s="40">
        <f>IF(Table_BDD[[#This Row],[Position]]="","",IF(Table_BDD[[#This Row],[Résultat]]="Gagnant",1,0))</f>
        <v>0</v>
      </c>
      <c r="BJ38" s="40">
        <f>IF(Table_BDD[[#This Row],[Position]]="","",IF(Table_BDD[[#This Row],[Résultat]]="Perdant",1,0))</f>
        <v>1</v>
      </c>
      <c r="BK38" s="40"/>
      <c r="BL38" s="145">
        <f>IF(Table_BDD[[#This Row],[T / P]]="","",Table_BDD[[#This Row],[T / P]])</f>
        <v>29265.23</v>
      </c>
      <c r="BM38" s="147"/>
      <c r="BN38" s="147"/>
      <c r="BO38" s="147"/>
      <c r="BP38" s="147"/>
      <c r="BQ38" s="127"/>
    </row>
    <row r="39" spans="1:69" x14ac:dyDescent="0.2">
      <c r="A39" s="93">
        <v>43866.685289351852</v>
      </c>
      <c r="B39" s="94">
        <v>259508410</v>
      </c>
      <c r="C39" s="37" t="s">
        <v>8</v>
      </c>
      <c r="D39" s="37" t="s">
        <v>9</v>
      </c>
      <c r="E39" s="37">
        <v>0.5</v>
      </c>
      <c r="F39" s="95">
        <v>29051.23</v>
      </c>
      <c r="G39" s="95">
        <v>29041.64</v>
      </c>
      <c r="H39" s="95"/>
      <c r="I39" s="28">
        <v>43866.685416666667</v>
      </c>
      <c r="J39" s="95">
        <v>29041.040000000001</v>
      </c>
      <c r="K39" s="95">
        <v>0</v>
      </c>
      <c r="L39" s="95">
        <v>0</v>
      </c>
      <c r="M39" s="32">
        <v>-4.63</v>
      </c>
      <c r="N39" s="148">
        <f>IF(Table_BDD[[#This Row],[Position]]="","",ROW()-3)</f>
        <v>36</v>
      </c>
      <c r="O39" s="32">
        <f>SUM($L$4:M39)</f>
        <v>-42.890000000000008</v>
      </c>
      <c r="P39" s="32">
        <f>Table_BDD[[#This Row],[Equité avant trade]]+Table_BDD[[#This Row],[Profit]]+Table_BDD[[#This Row],[Echange]]</f>
        <v>957.11</v>
      </c>
      <c r="Q39" s="52">
        <f>INT(Table_BDD[[#This Row],[Horodatage cloture]])</f>
        <v>43866</v>
      </c>
      <c r="R39" s="34">
        <f>WEEKNUM(Table_BDD[[#This Row],[Horodatage cloture]],2)</f>
        <v>6</v>
      </c>
      <c r="S39" s="61">
        <f>WEEKDAY(Table_BDD[[#This Row],[Horodatage cloture]])</f>
        <v>4</v>
      </c>
      <c r="T39" s="63">
        <f>HOUR(Table_BDD[[#This Row],[Horodatage cloture]])</f>
        <v>16</v>
      </c>
      <c r="U39" s="68">
        <f>IF(Table_BDD[[#This Row],[Position]]="","",IF(Table_BDD[[#This Row],[Valeur début de journée unique]]&lt;&gt;0,1,0))</f>
        <v>0</v>
      </c>
      <c r="V39" s="68" t="str">
        <f>IF(Table_BDD[[#This Row],[Nb de séance de trading]]=1,COUNTIF(Table_BDD[Date],Table_BDD[[#This Row],[Date]]),"")</f>
        <v/>
      </c>
      <c r="W39" s="33">
        <f>IF(Table_BDD[[#This Row],[Position]]="","",IF(Table_BDD[[#This Row],[Type]]="buy",ROUND(Table_BDD[[#This Row],[Lvl Entrée]]-Table_BDD[[#This Row],[S / L]],1),ROUND(Table_BDD[[#This Row],[S / L]]-Table_BDD[[#This Row],[Lvl Entrée]],1)))</f>
        <v>9.6</v>
      </c>
      <c r="X39" s="33">
        <f>IF(Table_BDD[[#This Row],[Position]]="","",IF(Table_BDD[[#This Row],[T / P]]=0,200,IF(Table_BDD[[#This Row],[Type]]="buy",ROUND(Table_BDD[[#This Row],[T / P]]-Table_BDD[[#This Row],[Lvl Entrée]],1),ROUND(Table_BDD[[#This Row],[Lvl Entrée]]-Table_BDD[[#This Row],[T / P]],1))))</f>
        <v>200</v>
      </c>
      <c r="Y39" s="34">
        <f>IF(Table_BDD[[#This Row],[Position]]="","",IF(Table_BDD[[#This Row],[Ecart du SL]]&gt;0,ROUND(ABS(Table_BDD[[#This Row],[Ecart du TP]])/ABS(Table_BDD[[#This Row],[Ecart du SL]]),1),ROUND(ABS(Table_BDD[[#This Row],[Ecart du TP]])/10,1)))</f>
        <v>20.8</v>
      </c>
      <c r="Z39" s="34">
        <f>IF(Table_BDD[[#This Row],[Position]]="","",IF(Table_BDD[[#This Row],[Ecart du SL]]&lt;0,IF(AND(Table_BDD[[#This Row],[Profit]]&gt;0,Table_BDD[[#This Row],[Type]]="sell"),ROUND((Table_BDD[[#This Row],[Lvl Entrée]]-Table_BDD[[#This Row],[Lvl Sortie]])/(10),1),IF(AND(Table_BDD[[#This Row],[Profit]]&gt;0,Table_BDD[[#This Row],[Type]]="buy"),ROUND((Table_BDD[[#This Row],[Lvl Sortie]]-Table_BDD[[#This Row],[Lvl Entrée]])/(10),1),)),IF(AND(Table_BDD[[#This Row],[Profit]]&gt;0,Table_BDD[[#This Row],[Type]]="sell"),ROUND((Table_BDD[[#This Row],[Lvl Entrée]]-Table_BDD[[#This Row],[Lvl Sortie]])/(Table_BDD[[#This Row],[S / L]]-Table_BDD[[#This Row],[Lvl Entrée]]),1),IF(AND(Table_BDD[[#This Row],[Profit]]&gt;0,Table_BDD[[#This Row],[Type]]="buy"),ROUND((Table_BDD[[#This Row],[Lvl Sortie]]-Table_BDD[[#This Row],[Lvl Entrée]])/(Table_BDD[[#This Row],[Lvl Entrée]]-Table_BDD[[#This Row],[S / L]]),1),ROUND(Table_BDD[[#This Row],[Points]]/10,1)))))</f>
        <v>-1</v>
      </c>
      <c r="AA39" s="32">
        <f>IF(Table_BDD[[#This Row],[Position]]="",AA38,Table_BDD[[#This Row],[Equité après trade]]-Table_BDD[[#This Row],[Profit]]-Table_BDD[[#This Row],[Echange]])</f>
        <v>961.74</v>
      </c>
      <c r="AB39" s="149">
        <f>$B$1+SUM($L$4:M39)</f>
        <v>957.11</v>
      </c>
      <c r="AC39" s="150">
        <f>IF(Table_BDD[[#This Row],[Position]]="","",_xlfn.MINIFS(Table_BDD[Horodatage ouverture],Table_BDD[Date],Table_BDD[Date]))</f>
        <v>43866.667986111112</v>
      </c>
      <c r="AD39" s="149">
        <f>VLOOKUP(_xlfn.MINIFS(Table_BDD[Horodatage ouverture],Table_BDD[Date],Table_BDD[Date]),Table_BDD[[Horodatage ouverture]:[Heure derniere valeur]],AA$2)</f>
        <v>1011.88</v>
      </c>
      <c r="AE39" s="149">
        <f>IF(VLOOKUP(_xlfn.MINIFS(Table_BDD[Horodatage ouverture],Table_BDD[Date],Table_BDD[Date]),Table_BDD[[Horodatage ouverture]:[Heure derniere valeur]],AA$2)=Table_BDD[[#This Row],[Equité avant trade]],VLOOKUP(_xlfn.MINIFS(Table_BDD[Horodatage ouverture],Table_BDD[Date],Table_BDD[Date]),Table_BDD[[Horodatage ouverture]:[Heure derniere valeur]],AA$2),0)</f>
        <v>0</v>
      </c>
      <c r="AF39" s="150">
        <f>IF(Table_BDD[[#This Row],[Position]]="","",_xlfn.MAXIFS(Table_BDD[Horodatage ouverture],Table_BDD[Date],Table_BDD[Date]))</f>
        <v>43866.695891203701</v>
      </c>
      <c r="AG39" s="32">
        <f>VLOOKUP(_xlfn.MAXIFS(Table_BDD[Horodatage cloture],Table_BDD[Date],Table_BDD[Date]),Table_BDD[[Horodatage ouverture]:[Heure derniere valeur]],AB$2)</f>
        <v>1017.63</v>
      </c>
      <c r="AH39" s="32">
        <f>IF(VLOOKUP(_xlfn.MAXIFS(Table_BDD[Horodatage cloture],Table_BDD[Date],Table_BDD[Date]),Table_BDD[[Horodatage ouverture]:[Heure derniere valeur]],AB$2)=Table_BDD[[#This Row],[Equité après trade]],VLOOKUP(_xlfn.MAXIFS(Table_BDD[Horodatage cloture],Table_BDD[Date],Table_BDD[Date]),Table_BDD[[Horodatage ouverture]:[Heure derniere valeur]],AB$2),0)</f>
        <v>0</v>
      </c>
      <c r="AI39" s="32" t="e">
        <f>IF(Table_BDD[[#This Row],[Valeur fin de journée unique]]=0,#N/A,Table_BDD[[#This Row],[Valeur fin de journée unique]])</f>
        <v>#N/A</v>
      </c>
      <c r="AJ39" s="35">
        <f>IF(Table_BDD[[#This Row],[Position]]="","",(Table_BDD[[#This Row],[Equité après trade]]-Table_BDD[[#This Row],[Equité avant trade]])/Table_BDD[[#This Row],[Equité avant trade]])</f>
        <v>-4.8141909455778021E-3</v>
      </c>
      <c r="AK39" s="35" t="str">
        <f>IFERROR(((INDEX(Table_BDD[[Trade n°]:[Valeur fin de journée unique]],Table_BDD[[#This Row],[Nb de trade du jour]]+Table_BDD[[#This Row],[Trade n°]]-1,21))-Table_BDD[[#This Row],[Valeur début de journée unique]])/Table_BDD[[#This Row],[Valeur début de journée unique]],"")</f>
        <v/>
      </c>
      <c r="AL39" s="32">
        <f>IF(Table_BDD[[#This Row],[Position]]="","",MAX(Table_BDD[[#This Row],[Cumul équité]],AL38))</f>
        <v>1019.44</v>
      </c>
      <c r="AM39" s="32">
        <f>IF(Table_BDD[[#This Row],[Position]]="","",MIN(Table_BDD[[#This Row],[Cumul équité]],AL38))</f>
        <v>957.11</v>
      </c>
      <c r="AN39" s="97">
        <f>IF(Table_BDD[[#This Row],[Sommet Drawdown]]&gt;AL38,"",Table_BDD[[#This Row],[Creux Drawdown]]/Table_BDD[[#This Row],[Sommet Drawdown]]-1)</f>
        <v>-6.1141410970729115E-2</v>
      </c>
      <c r="AO39" s="36">
        <f>IF(Table_BDD[[#This Row],[Position]]="","",IF(Table_BDD[[#This Row],[Type]]="buy",ROUND(Table_BDD[[#This Row],[Lvl Sortie]]-Table_BDD[[#This Row],[Lvl Entrée]],1),ROUND(Table_BDD[[#This Row],[Lvl Entrée]]-Table_BDD[[#This Row],[Lvl Sortie]],1)))</f>
        <v>-10.199999999999999</v>
      </c>
      <c r="AP39" s="36" t="str">
        <f>IF(Table_BDD[[#This Row],[Points]]&gt;0,Table_BDD[[#This Row],[Points]],"")</f>
        <v/>
      </c>
      <c r="AQ39" s="36">
        <f>IF(Table_BDD[[#This Row],[Points]]&lt;0,Table_BDD[[#This Row],[Points]],"")</f>
        <v>-10.199999999999999</v>
      </c>
      <c r="AR39" s="36">
        <f>SUM($AO$4:AO39)</f>
        <v>-94.3</v>
      </c>
      <c r="AS39" s="68">
        <f>IF(Table_BDD[[#This Row],[Position]]="","",IF(Table_BDD[[#This Row],[Conformité]]="Conforme",1,0))</f>
        <v>0</v>
      </c>
      <c r="AT39" s="68">
        <f>IF(Table_BDD[[#This Row],[Position]]="","",IF(Table_BDD[[#This Row],[Conformité]]="Non conforme",1,0))</f>
        <v>1</v>
      </c>
      <c r="AU39" s="37" t="s">
        <v>17</v>
      </c>
      <c r="AV39" s="37"/>
      <c r="AW39" s="37"/>
      <c r="AX39" s="37">
        <v>0</v>
      </c>
      <c r="AY39" s="37">
        <v>0</v>
      </c>
      <c r="AZ39" s="37">
        <v>0</v>
      </c>
      <c r="BA39" s="37" t="str">
        <f>IF(Table_BDD[[#This Row],[Position]]="","Sans objet",IF(AND(Table_BDD[[#This Row],[Type]]="sell",Table_BDD[[#This Row],[S / L]]&lt;Table_BDD[[#This Row],[Lvl Entrée]],Table_BDD[[#This Row],[Lvl Sortie]]&lt;=Table_BDD[[#This Row],[S / L]]+2,Table_BDD[[#This Row],[Lvl Sortie]]&lt;Table_BDD[[#This Row],[Lvl Entrée]]-19),"Oui",IF(AND(Table_BDD[[#This Row],[Type]]="buy",Table_BDD[[#This Row],[S / L]]&gt;Table_BDD[[#This Row],[Lvl Entrée]],Table_BDD[[#This Row],[Lvl Sortie]]&gt;=Table_BDD[[#This Row],[S / L]]-2,Table_BDD[[#This Row],[S / L]]&gt;Table_BDD[[#This Row],[Lvl Entrée]]+19),"Oui","Non")))</f>
        <v>Non</v>
      </c>
      <c r="BB39" s="37" t="str">
        <f>IF(Table_BDD[[#This Row],[Position]]="","Sans objet",IF(AND(Table_BDD[[#This Row],[Type]]="sell",Table_BDD[[#This Row],[S / L]]&lt;Table_BDD[[#This Row],[Lvl Entrée]],Table_BDD[[#This Row],[Points]]&gt;=-1),"Oui",IF(AND(Table_BDD[[#This Row],[Type]]="sell",Table_BDD[[#This Row],[S / L]]&gt;Table_BDD[[#This Row],[Lvl Entrée]]),"Non",IF(AND(Table_BDD[[#This Row],[Type]]="buy",Table_BDD[[#This Row],[S / L]]&lt;Table_BDD[[#This Row],[Lvl Entrée]]),"Non",IF(AND(Table_BDD[[#This Row],[Type]]="buy",Table_BDD[[#This Row],[S / L]]&gt;Table_BDD[[#This Row],[Lvl Entrée]],Table_BDD[[#This Row],[Points]]&gt;=-1),"Oui")))))</f>
        <v>Non</v>
      </c>
      <c r="BC39" s="37" t="str">
        <f>IF(Table_BDD[[#This Row],[Position]]="","Sans objet",IF(Table_BDD[[#This Row],[T / P]]="","Non",IF(AND(Table_BDD[[#This Row],[Type]]="sell",Table_BDD[[#This Row],[Lvl Sortie]]&lt;=Table_BDD[[#This Row],[T / P]]),"Oui",IF(AND(Table_BDD[[#This Row],[Type]]="buy",Table_BDD[[#This Row],[Lvl Sortie]]&gt;=Table_BDD[[#This Row],[T / P]]),"Oui","Non"))))</f>
        <v>Non</v>
      </c>
      <c r="BD39" s="91">
        <f t="array" ref="BD39">IFERROR(INDEX(downloadFile[#All],MATCH(Table_BDD[[#This Row],[Date]],downloadFile[[#All],[Column1]],0),2),BD38)</f>
        <v>1.1023000000000001</v>
      </c>
      <c r="BE39" s="89">
        <f>IF(Table_BDD[[#This Row],[Position]]="","",IF(Table_BDD[[#This Row],[Symbole]]="UsaInd",(Table_BDD[[#This Row],[Volume]]*Table_BDD[[#This Row],[Lvl Entrée]])/(Table_BDD[[#This Row],[Equité avant trade]]*Table_BDD[[#This Row],[EUR/USD]]),IF(Table_BDD[[#This Row],[Symbole]]="Ger30",(Table_BDD[[#This Row],[Volume]]*Table_BDD[[#This Row],[Lvl Entrée]])/Table_BDD[[#This Row],[Equité avant trade]],)))</f>
        <v>13.701781649159097</v>
      </c>
      <c r="BF39" s="38">
        <f>IF(Table_BDD[[#This Row],[Position]]="","",IF(Table_BDD[[#This Row],[Conformité]]="Non conforme",0,(MROUND(3*((Table_BDD[[#This Row],[Conviction]]+Table_BDD[[#This Row],[Timing]]+Table_BDD[[#This Row],[Sortie]])+1)-2,1))))</f>
        <v>0</v>
      </c>
      <c r="BG39" s="38" t="str">
        <f>IF(Table_BDD[[#This Row],[Position]]="","",IF(Table_BDD[[#This Row],[Points]]&lt;-5,"--",IF(AND(Table_BDD[[#This Row],[Points]]&gt;=-5,Table_BDD[[#This Row],[Points]]&lt;-1.5),"-",IF(AND(Table_BDD[[#This Row],[Points]]&gt;=-1.5,Table_BDD[[#This Row],[Points]]&lt;1.5),"0",IF(AND(Table_BDD[[#This Row],[Points]]&gt;=1.5,Table_BDD[[#This Row],[Points]]&lt;=70),"+",IF(Table_BDD[[#This Row],[Points]]&gt;70,"++"))))))</f>
        <v>--</v>
      </c>
      <c r="BH39" s="37" t="str">
        <f>IF(Table_BDD[[#This Row],[Position]]="","",IF(Table_BDD[[#This Row],[Points]]&gt;0,"Gagnant",IF(Table_BDD[[#This Row],[Points]]=0,"Flat","Perdant")))</f>
        <v>Perdant</v>
      </c>
      <c r="BI39" s="40">
        <f>IF(Table_BDD[[#This Row],[Position]]="","",IF(Table_BDD[[#This Row],[Résultat]]="Gagnant",1,0))</f>
        <v>0</v>
      </c>
      <c r="BJ39" s="40">
        <f>IF(Table_BDD[[#This Row],[Position]]="","",IF(Table_BDD[[#This Row],[Résultat]]="Perdant",1,0))</f>
        <v>1</v>
      </c>
      <c r="BK39" s="40"/>
      <c r="BL39" s="145" t="str">
        <f>IF(Table_BDD[[#This Row],[T / P]]="","",Table_BDD[[#This Row],[T / P]])</f>
        <v/>
      </c>
      <c r="BM39" s="147"/>
      <c r="BN39" s="147"/>
      <c r="BO39" s="147"/>
      <c r="BP39" s="147"/>
      <c r="BQ39" s="127"/>
    </row>
    <row r="40" spans="1:69" x14ac:dyDescent="0.2">
      <c r="A40" s="93">
        <v>43866.68546296296</v>
      </c>
      <c r="B40" s="94">
        <v>259509644</v>
      </c>
      <c r="C40" s="37" t="s">
        <v>8</v>
      </c>
      <c r="D40" s="37" t="s">
        <v>9</v>
      </c>
      <c r="E40" s="37">
        <v>0.5</v>
      </c>
      <c r="F40" s="95">
        <v>29034.2</v>
      </c>
      <c r="G40" s="95">
        <v>29023.200000000001</v>
      </c>
      <c r="H40" s="95"/>
      <c r="I40" s="28">
        <v>43866.685706018521</v>
      </c>
      <c r="J40" s="95">
        <v>29023.01</v>
      </c>
      <c r="K40" s="95">
        <v>0</v>
      </c>
      <c r="L40" s="95">
        <v>0</v>
      </c>
      <c r="M40" s="32">
        <v>-5.09</v>
      </c>
      <c r="N40" s="148">
        <f>IF(Table_BDD[[#This Row],[Position]]="","",ROW()-3)</f>
        <v>37</v>
      </c>
      <c r="O40" s="32">
        <f>SUM($L$4:M40)</f>
        <v>-47.980000000000004</v>
      </c>
      <c r="P40" s="32">
        <f>Table_BDD[[#This Row],[Equité avant trade]]+Table_BDD[[#This Row],[Profit]]+Table_BDD[[#This Row],[Echange]]</f>
        <v>952.02</v>
      </c>
      <c r="Q40" s="52">
        <f>INT(Table_BDD[[#This Row],[Horodatage cloture]])</f>
        <v>43866</v>
      </c>
      <c r="R40" s="34">
        <f>WEEKNUM(Table_BDD[[#This Row],[Horodatage cloture]],2)</f>
        <v>6</v>
      </c>
      <c r="S40" s="61">
        <f>WEEKDAY(Table_BDD[[#This Row],[Horodatage cloture]])</f>
        <v>4</v>
      </c>
      <c r="T40" s="63">
        <f>HOUR(Table_BDD[[#This Row],[Horodatage cloture]])</f>
        <v>16</v>
      </c>
      <c r="U40" s="68">
        <f>IF(Table_BDD[[#This Row],[Position]]="","",IF(Table_BDD[[#This Row],[Valeur début de journée unique]]&lt;&gt;0,1,0))</f>
        <v>0</v>
      </c>
      <c r="V40" s="68" t="str">
        <f>IF(Table_BDD[[#This Row],[Nb de séance de trading]]=1,COUNTIF(Table_BDD[Date],Table_BDD[[#This Row],[Date]]),"")</f>
        <v/>
      </c>
      <c r="W40" s="33">
        <f>IF(Table_BDD[[#This Row],[Position]]="","",IF(Table_BDD[[#This Row],[Type]]="buy",ROUND(Table_BDD[[#This Row],[Lvl Entrée]]-Table_BDD[[#This Row],[S / L]],1),ROUND(Table_BDD[[#This Row],[S / L]]-Table_BDD[[#This Row],[Lvl Entrée]],1)))</f>
        <v>11</v>
      </c>
      <c r="X40" s="33">
        <f>IF(Table_BDD[[#This Row],[Position]]="","",IF(Table_BDD[[#This Row],[T / P]]=0,200,IF(Table_BDD[[#This Row],[Type]]="buy",ROUND(Table_BDD[[#This Row],[T / P]]-Table_BDD[[#This Row],[Lvl Entrée]],1),ROUND(Table_BDD[[#This Row],[Lvl Entrée]]-Table_BDD[[#This Row],[T / P]],1))))</f>
        <v>200</v>
      </c>
      <c r="Y40" s="34">
        <f>IF(Table_BDD[[#This Row],[Position]]="","",IF(Table_BDD[[#This Row],[Ecart du SL]]&gt;0,ROUND(ABS(Table_BDD[[#This Row],[Ecart du TP]])/ABS(Table_BDD[[#This Row],[Ecart du SL]]),1),ROUND(ABS(Table_BDD[[#This Row],[Ecart du TP]])/10,1)))</f>
        <v>18.2</v>
      </c>
      <c r="Z40" s="34">
        <f>IF(Table_BDD[[#This Row],[Position]]="","",IF(Table_BDD[[#This Row],[Ecart du SL]]&lt;0,IF(AND(Table_BDD[[#This Row],[Profit]]&gt;0,Table_BDD[[#This Row],[Type]]="sell"),ROUND((Table_BDD[[#This Row],[Lvl Entrée]]-Table_BDD[[#This Row],[Lvl Sortie]])/(10),1),IF(AND(Table_BDD[[#This Row],[Profit]]&gt;0,Table_BDD[[#This Row],[Type]]="buy"),ROUND((Table_BDD[[#This Row],[Lvl Sortie]]-Table_BDD[[#This Row],[Lvl Entrée]])/(10),1),)),IF(AND(Table_BDD[[#This Row],[Profit]]&gt;0,Table_BDD[[#This Row],[Type]]="sell"),ROUND((Table_BDD[[#This Row],[Lvl Entrée]]-Table_BDD[[#This Row],[Lvl Sortie]])/(Table_BDD[[#This Row],[S / L]]-Table_BDD[[#This Row],[Lvl Entrée]]),1),IF(AND(Table_BDD[[#This Row],[Profit]]&gt;0,Table_BDD[[#This Row],[Type]]="buy"),ROUND((Table_BDD[[#This Row],[Lvl Sortie]]-Table_BDD[[#This Row],[Lvl Entrée]])/(Table_BDD[[#This Row],[Lvl Entrée]]-Table_BDD[[#This Row],[S / L]]),1),ROUND(Table_BDD[[#This Row],[Points]]/10,1)))))</f>
        <v>-1.1000000000000001</v>
      </c>
      <c r="AA40" s="32">
        <f>IF(Table_BDD[[#This Row],[Position]]="",AA39,Table_BDD[[#This Row],[Equité après trade]]-Table_BDD[[#This Row],[Profit]]-Table_BDD[[#This Row],[Echange]])</f>
        <v>957.11</v>
      </c>
      <c r="AB40" s="149">
        <f>$B$1+SUM($L$4:M40)</f>
        <v>952.02</v>
      </c>
      <c r="AC40" s="150">
        <f>IF(Table_BDD[[#This Row],[Position]]="","",_xlfn.MINIFS(Table_BDD[Horodatage ouverture],Table_BDD[Date],Table_BDD[Date]))</f>
        <v>43866.667986111112</v>
      </c>
      <c r="AD40" s="149">
        <f>VLOOKUP(_xlfn.MINIFS(Table_BDD[Horodatage ouverture],Table_BDD[Date],Table_BDD[Date]),Table_BDD[[Horodatage ouverture]:[Heure derniere valeur]],AA$2)</f>
        <v>1011.88</v>
      </c>
      <c r="AE40" s="149">
        <f>IF(VLOOKUP(_xlfn.MINIFS(Table_BDD[Horodatage ouverture],Table_BDD[Date],Table_BDD[Date]),Table_BDD[[Horodatage ouverture]:[Heure derniere valeur]],AA$2)=Table_BDD[[#This Row],[Equité avant trade]],VLOOKUP(_xlfn.MINIFS(Table_BDD[Horodatage ouverture],Table_BDD[Date],Table_BDD[Date]),Table_BDD[[Horodatage ouverture]:[Heure derniere valeur]],AA$2),0)</f>
        <v>0</v>
      </c>
      <c r="AF40" s="150">
        <f>IF(Table_BDD[[#This Row],[Position]]="","",_xlfn.MAXIFS(Table_BDD[Horodatage ouverture],Table_BDD[Date],Table_BDD[Date]))</f>
        <v>43866.695891203701</v>
      </c>
      <c r="AG40" s="32">
        <f>VLOOKUP(_xlfn.MAXIFS(Table_BDD[Horodatage cloture],Table_BDD[Date],Table_BDD[Date]),Table_BDD[[Horodatage ouverture]:[Heure derniere valeur]],AB$2)</f>
        <v>1017.63</v>
      </c>
      <c r="AH40" s="32">
        <f>IF(VLOOKUP(_xlfn.MAXIFS(Table_BDD[Horodatage cloture],Table_BDD[Date],Table_BDD[Date]),Table_BDD[[Horodatage ouverture]:[Heure derniere valeur]],AB$2)=Table_BDD[[#This Row],[Equité après trade]],VLOOKUP(_xlfn.MAXIFS(Table_BDD[Horodatage cloture],Table_BDD[Date],Table_BDD[Date]),Table_BDD[[Horodatage ouverture]:[Heure derniere valeur]],AB$2),0)</f>
        <v>0</v>
      </c>
      <c r="AI40" s="32" t="e">
        <f>IF(Table_BDD[[#This Row],[Valeur fin de journée unique]]=0,#N/A,Table_BDD[[#This Row],[Valeur fin de journée unique]])</f>
        <v>#N/A</v>
      </c>
      <c r="AJ40" s="35">
        <f>IF(Table_BDD[[#This Row],[Position]]="","",(Table_BDD[[#This Row],[Equité après trade]]-Table_BDD[[#This Row],[Equité avant trade]])/Table_BDD[[#This Row],[Equité avant trade]])</f>
        <v>-5.3180930091630343E-3</v>
      </c>
      <c r="AK40" s="35" t="str">
        <f>IFERROR(((INDEX(Table_BDD[[Trade n°]:[Valeur fin de journée unique]],Table_BDD[[#This Row],[Nb de trade du jour]]+Table_BDD[[#This Row],[Trade n°]]-1,21))-Table_BDD[[#This Row],[Valeur début de journée unique]])/Table_BDD[[#This Row],[Valeur début de journée unique]],"")</f>
        <v/>
      </c>
      <c r="AL40" s="32">
        <f>IF(Table_BDD[[#This Row],[Position]]="","",MAX(Table_BDD[[#This Row],[Cumul équité]],AL39))</f>
        <v>1019.44</v>
      </c>
      <c r="AM40" s="32">
        <f>IF(Table_BDD[[#This Row],[Position]]="","",MIN(Table_BDD[[#This Row],[Cumul équité]],AL39))</f>
        <v>952.02</v>
      </c>
      <c r="AN40" s="97">
        <f>IF(Table_BDD[[#This Row],[Sommet Drawdown]]&gt;AL39,"",Table_BDD[[#This Row],[Creux Drawdown]]/Table_BDD[[#This Row],[Sommet Drawdown]]-1)</f>
        <v>-6.6134348269638266E-2</v>
      </c>
      <c r="AO40" s="36">
        <f>IF(Table_BDD[[#This Row],[Position]]="","",IF(Table_BDD[[#This Row],[Type]]="buy",ROUND(Table_BDD[[#This Row],[Lvl Sortie]]-Table_BDD[[#This Row],[Lvl Entrée]],1),ROUND(Table_BDD[[#This Row],[Lvl Entrée]]-Table_BDD[[#This Row],[Lvl Sortie]],1)))</f>
        <v>-11.2</v>
      </c>
      <c r="AP40" s="36" t="str">
        <f>IF(Table_BDD[[#This Row],[Points]]&gt;0,Table_BDD[[#This Row],[Points]],"")</f>
        <v/>
      </c>
      <c r="AQ40" s="36">
        <f>IF(Table_BDD[[#This Row],[Points]]&lt;0,Table_BDD[[#This Row],[Points]],"")</f>
        <v>-11.2</v>
      </c>
      <c r="AR40" s="36">
        <f>SUM($AO$4:AO40)</f>
        <v>-105.5</v>
      </c>
      <c r="AS40" s="68">
        <f>IF(Table_BDD[[#This Row],[Position]]="","",IF(Table_BDD[[#This Row],[Conformité]]="Conforme",1,0))</f>
        <v>0</v>
      </c>
      <c r="AT40" s="68">
        <f>IF(Table_BDD[[#This Row],[Position]]="","",IF(Table_BDD[[#This Row],[Conformité]]="Non conforme",1,0))</f>
        <v>1</v>
      </c>
      <c r="AU40" s="37" t="s">
        <v>17</v>
      </c>
      <c r="AV40" s="37"/>
      <c r="AW40" s="37"/>
      <c r="AX40" s="37">
        <v>0</v>
      </c>
      <c r="AY40" s="37">
        <v>0</v>
      </c>
      <c r="AZ40" s="37">
        <v>0</v>
      </c>
      <c r="BA40" s="37" t="str">
        <f>IF(Table_BDD[[#This Row],[Position]]="","Sans objet",IF(AND(Table_BDD[[#This Row],[Type]]="sell",Table_BDD[[#This Row],[S / L]]&lt;Table_BDD[[#This Row],[Lvl Entrée]],Table_BDD[[#This Row],[Lvl Sortie]]&lt;=Table_BDD[[#This Row],[S / L]]+2,Table_BDD[[#This Row],[Lvl Sortie]]&lt;Table_BDD[[#This Row],[Lvl Entrée]]-19),"Oui",IF(AND(Table_BDD[[#This Row],[Type]]="buy",Table_BDD[[#This Row],[S / L]]&gt;Table_BDD[[#This Row],[Lvl Entrée]],Table_BDD[[#This Row],[Lvl Sortie]]&gt;=Table_BDD[[#This Row],[S / L]]-2,Table_BDD[[#This Row],[S / L]]&gt;Table_BDD[[#This Row],[Lvl Entrée]]+19),"Oui","Non")))</f>
        <v>Non</v>
      </c>
      <c r="BB40" s="37" t="str">
        <f>IF(Table_BDD[[#This Row],[Position]]="","Sans objet",IF(AND(Table_BDD[[#This Row],[Type]]="sell",Table_BDD[[#This Row],[S / L]]&lt;Table_BDD[[#This Row],[Lvl Entrée]],Table_BDD[[#This Row],[Points]]&gt;=-1),"Oui",IF(AND(Table_BDD[[#This Row],[Type]]="sell",Table_BDD[[#This Row],[S / L]]&gt;Table_BDD[[#This Row],[Lvl Entrée]]),"Non",IF(AND(Table_BDD[[#This Row],[Type]]="buy",Table_BDD[[#This Row],[S / L]]&lt;Table_BDD[[#This Row],[Lvl Entrée]]),"Non",IF(AND(Table_BDD[[#This Row],[Type]]="buy",Table_BDD[[#This Row],[S / L]]&gt;Table_BDD[[#This Row],[Lvl Entrée]],Table_BDD[[#This Row],[Points]]&gt;=-1),"Oui")))))</f>
        <v>Non</v>
      </c>
      <c r="BC40" s="37" t="str">
        <f>IF(Table_BDD[[#This Row],[Position]]="","Sans objet",IF(Table_BDD[[#This Row],[T / P]]="","Non",IF(AND(Table_BDD[[#This Row],[Type]]="sell",Table_BDD[[#This Row],[Lvl Sortie]]&lt;=Table_BDD[[#This Row],[T / P]]),"Oui",IF(AND(Table_BDD[[#This Row],[Type]]="buy",Table_BDD[[#This Row],[Lvl Sortie]]&gt;=Table_BDD[[#This Row],[T / P]]),"Oui","Non"))))</f>
        <v>Non</v>
      </c>
      <c r="BD40" s="91">
        <f t="array" ref="BD40">IFERROR(INDEX(downloadFile[#All],MATCH(Table_BDD[[#This Row],[Date]],downloadFile[[#All],[Column1]],0),2),BD39)</f>
        <v>1.1023000000000001</v>
      </c>
      <c r="BE40" s="89">
        <f>IF(Table_BDD[[#This Row],[Position]]="","",IF(Table_BDD[[#This Row],[Symbole]]="UsaInd",(Table_BDD[[#This Row],[Volume]]*Table_BDD[[#This Row],[Lvl Entrée]])/(Table_BDD[[#This Row],[Equité avant trade]]*Table_BDD[[#This Row],[EUR/USD]]),IF(Table_BDD[[#This Row],[Symbole]]="Ger30",(Table_BDD[[#This Row],[Volume]]*Table_BDD[[#This Row],[Lvl Entrée]])/Table_BDD[[#This Row],[Equité avant trade]],)))</f>
        <v>13.759992817896247</v>
      </c>
      <c r="BF40" s="38">
        <f>IF(Table_BDD[[#This Row],[Position]]="","",IF(Table_BDD[[#This Row],[Conformité]]="Non conforme",0,(MROUND(3*((Table_BDD[[#This Row],[Conviction]]+Table_BDD[[#This Row],[Timing]]+Table_BDD[[#This Row],[Sortie]])+1)-2,1))))</f>
        <v>0</v>
      </c>
      <c r="BG40" s="38" t="str">
        <f>IF(Table_BDD[[#This Row],[Position]]="","",IF(Table_BDD[[#This Row],[Points]]&lt;-5,"--",IF(AND(Table_BDD[[#This Row],[Points]]&gt;=-5,Table_BDD[[#This Row],[Points]]&lt;-1.5),"-",IF(AND(Table_BDD[[#This Row],[Points]]&gt;=-1.5,Table_BDD[[#This Row],[Points]]&lt;1.5),"0",IF(AND(Table_BDD[[#This Row],[Points]]&gt;=1.5,Table_BDD[[#This Row],[Points]]&lt;=70),"+",IF(Table_BDD[[#This Row],[Points]]&gt;70,"++"))))))</f>
        <v>--</v>
      </c>
      <c r="BH40" s="37" t="str">
        <f>IF(Table_BDD[[#This Row],[Position]]="","",IF(Table_BDD[[#This Row],[Points]]&gt;0,"Gagnant",IF(Table_BDD[[#This Row],[Points]]=0,"Flat","Perdant")))</f>
        <v>Perdant</v>
      </c>
      <c r="BI40" s="40">
        <f>IF(Table_BDD[[#This Row],[Position]]="","",IF(Table_BDD[[#This Row],[Résultat]]="Gagnant",1,0))</f>
        <v>0</v>
      </c>
      <c r="BJ40" s="40">
        <f>IF(Table_BDD[[#This Row],[Position]]="","",IF(Table_BDD[[#This Row],[Résultat]]="Perdant",1,0))</f>
        <v>1</v>
      </c>
      <c r="BK40" s="40"/>
      <c r="BL40" s="145" t="str">
        <f>IF(Table_BDD[[#This Row],[T / P]]="","",Table_BDD[[#This Row],[T / P]])</f>
        <v/>
      </c>
      <c r="BM40" s="147"/>
      <c r="BN40" s="147"/>
      <c r="BO40" s="147"/>
      <c r="BP40" s="147"/>
      <c r="BQ40" s="127"/>
    </row>
    <row r="41" spans="1:69" x14ac:dyDescent="0.2">
      <c r="A41" s="93">
        <v>43866.685740740744</v>
      </c>
      <c r="B41" s="94">
        <v>259509769</v>
      </c>
      <c r="C41" s="37" t="s">
        <v>8</v>
      </c>
      <c r="D41" s="37" t="s">
        <v>10</v>
      </c>
      <c r="E41" s="37">
        <v>0.5</v>
      </c>
      <c r="F41" s="95">
        <v>29029.03</v>
      </c>
      <c r="G41" s="95">
        <v>29039.03</v>
      </c>
      <c r="H41" s="95">
        <v>28776.97</v>
      </c>
      <c r="I41" s="28">
        <v>43866.687210648146</v>
      </c>
      <c r="J41" s="95">
        <v>29033.03</v>
      </c>
      <c r="K41" s="95">
        <v>0</v>
      </c>
      <c r="L41" s="95">
        <v>0</v>
      </c>
      <c r="M41" s="32">
        <v>-1.82</v>
      </c>
      <c r="N41" s="148">
        <f>IF(Table_BDD[[#This Row],[Position]]="","",ROW()-3)</f>
        <v>38</v>
      </c>
      <c r="O41" s="32">
        <f>SUM($L$4:M41)</f>
        <v>-49.800000000000004</v>
      </c>
      <c r="P41" s="32">
        <f>Table_BDD[[#This Row],[Equité avant trade]]+Table_BDD[[#This Row],[Profit]]+Table_BDD[[#This Row],[Echange]]</f>
        <v>950.2</v>
      </c>
      <c r="Q41" s="52">
        <f>INT(Table_BDD[[#This Row],[Horodatage cloture]])</f>
        <v>43866</v>
      </c>
      <c r="R41" s="34">
        <f>WEEKNUM(Table_BDD[[#This Row],[Horodatage cloture]],2)</f>
        <v>6</v>
      </c>
      <c r="S41" s="61">
        <f>WEEKDAY(Table_BDD[[#This Row],[Horodatage cloture]])</f>
        <v>4</v>
      </c>
      <c r="T41" s="63">
        <f>HOUR(Table_BDD[[#This Row],[Horodatage cloture]])</f>
        <v>16</v>
      </c>
      <c r="U41" s="68">
        <f>IF(Table_BDD[[#This Row],[Position]]="","",IF(Table_BDD[[#This Row],[Valeur début de journée unique]]&lt;&gt;0,1,0))</f>
        <v>0</v>
      </c>
      <c r="V41" s="68" t="str">
        <f>IF(Table_BDD[[#This Row],[Nb de séance de trading]]=1,COUNTIF(Table_BDD[Date],Table_BDD[[#This Row],[Date]]),"")</f>
        <v/>
      </c>
      <c r="W41" s="33">
        <f>IF(Table_BDD[[#This Row],[Position]]="","",IF(Table_BDD[[#This Row],[Type]]="buy",ROUND(Table_BDD[[#This Row],[Lvl Entrée]]-Table_BDD[[#This Row],[S / L]],1),ROUND(Table_BDD[[#This Row],[S / L]]-Table_BDD[[#This Row],[Lvl Entrée]],1)))</f>
        <v>10</v>
      </c>
      <c r="X41" s="33">
        <f>IF(Table_BDD[[#This Row],[Position]]="","",IF(Table_BDD[[#This Row],[T / P]]=0,200,IF(Table_BDD[[#This Row],[Type]]="buy",ROUND(Table_BDD[[#This Row],[T / P]]-Table_BDD[[#This Row],[Lvl Entrée]],1),ROUND(Table_BDD[[#This Row],[Lvl Entrée]]-Table_BDD[[#This Row],[T / P]],1))))</f>
        <v>252.1</v>
      </c>
      <c r="Y41" s="34">
        <f>IF(Table_BDD[[#This Row],[Position]]="","",IF(Table_BDD[[#This Row],[Ecart du SL]]&gt;0,ROUND(ABS(Table_BDD[[#This Row],[Ecart du TP]])/ABS(Table_BDD[[#This Row],[Ecart du SL]]),1),ROUND(ABS(Table_BDD[[#This Row],[Ecart du TP]])/10,1)))</f>
        <v>25.2</v>
      </c>
      <c r="Z41" s="34">
        <f>IF(Table_BDD[[#This Row],[Position]]="","",IF(Table_BDD[[#This Row],[Ecart du SL]]&lt;0,IF(AND(Table_BDD[[#This Row],[Profit]]&gt;0,Table_BDD[[#This Row],[Type]]="sell"),ROUND((Table_BDD[[#This Row],[Lvl Entrée]]-Table_BDD[[#This Row],[Lvl Sortie]])/(10),1),IF(AND(Table_BDD[[#This Row],[Profit]]&gt;0,Table_BDD[[#This Row],[Type]]="buy"),ROUND((Table_BDD[[#This Row],[Lvl Sortie]]-Table_BDD[[#This Row],[Lvl Entrée]])/(10),1),)),IF(AND(Table_BDD[[#This Row],[Profit]]&gt;0,Table_BDD[[#This Row],[Type]]="sell"),ROUND((Table_BDD[[#This Row],[Lvl Entrée]]-Table_BDD[[#This Row],[Lvl Sortie]])/(Table_BDD[[#This Row],[S / L]]-Table_BDD[[#This Row],[Lvl Entrée]]),1),IF(AND(Table_BDD[[#This Row],[Profit]]&gt;0,Table_BDD[[#This Row],[Type]]="buy"),ROUND((Table_BDD[[#This Row],[Lvl Sortie]]-Table_BDD[[#This Row],[Lvl Entrée]])/(Table_BDD[[#This Row],[Lvl Entrée]]-Table_BDD[[#This Row],[S / L]]),1),ROUND(Table_BDD[[#This Row],[Points]]/10,1)))))</f>
        <v>-0.4</v>
      </c>
      <c r="AA41" s="32">
        <f>IF(Table_BDD[[#This Row],[Position]]="",AA40,Table_BDD[[#This Row],[Equité après trade]]-Table_BDD[[#This Row],[Profit]]-Table_BDD[[#This Row],[Echange]])</f>
        <v>952.0200000000001</v>
      </c>
      <c r="AB41" s="149">
        <f>$B$1+SUM($L$4:M41)</f>
        <v>950.2</v>
      </c>
      <c r="AC41" s="150">
        <f>IF(Table_BDD[[#This Row],[Position]]="","",_xlfn.MINIFS(Table_BDD[Horodatage ouverture],Table_BDD[Date],Table_BDD[Date]))</f>
        <v>43866.667986111112</v>
      </c>
      <c r="AD41" s="149">
        <f>VLOOKUP(_xlfn.MINIFS(Table_BDD[Horodatage ouverture],Table_BDD[Date],Table_BDD[Date]),Table_BDD[[Horodatage ouverture]:[Heure derniere valeur]],AA$2)</f>
        <v>1011.88</v>
      </c>
      <c r="AE41" s="149">
        <f>IF(VLOOKUP(_xlfn.MINIFS(Table_BDD[Horodatage ouverture],Table_BDD[Date],Table_BDD[Date]),Table_BDD[[Horodatage ouverture]:[Heure derniere valeur]],AA$2)=Table_BDD[[#This Row],[Equité avant trade]],VLOOKUP(_xlfn.MINIFS(Table_BDD[Horodatage ouverture],Table_BDD[Date],Table_BDD[Date]),Table_BDD[[Horodatage ouverture]:[Heure derniere valeur]],AA$2),0)</f>
        <v>0</v>
      </c>
      <c r="AF41" s="150">
        <f>IF(Table_BDD[[#This Row],[Position]]="","",_xlfn.MAXIFS(Table_BDD[Horodatage ouverture],Table_BDD[Date],Table_BDD[Date]))</f>
        <v>43866.695891203701</v>
      </c>
      <c r="AG41" s="32">
        <f>VLOOKUP(_xlfn.MAXIFS(Table_BDD[Horodatage cloture],Table_BDD[Date],Table_BDD[Date]),Table_BDD[[Horodatage ouverture]:[Heure derniere valeur]],AB$2)</f>
        <v>1017.63</v>
      </c>
      <c r="AH41" s="32">
        <f>IF(VLOOKUP(_xlfn.MAXIFS(Table_BDD[Horodatage cloture],Table_BDD[Date],Table_BDD[Date]),Table_BDD[[Horodatage ouverture]:[Heure derniere valeur]],AB$2)=Table_BDD[[#This Row],[Equité après trade]],VLOOKUP(_xlfn.MAXIFS(Table_BDD[Horodatage cloture],Table_BDD[Date],Table_BDD[Date]),Table_BDD[[Horodatage ouverture]:[Heure derniere valeur]],AB$2),0)</f>
        <v>0</v>
      </c>
      <c r="AI41" s="32" t="e">
        <f>IF(Table_BDD[[#This Row],[Valeur fin de journée unique]]=0,#N/A,Table_BDD[[#This Row],[Valeur fin de journée unique]])</f>
        <v>#N/A</v>
      </c>
      <c r="AJ41" s="35">
        <f>IF(Table_BDD[[#This Row],[Position]]="","",(Table_BDD[[#This Row],[Equité après trade]]-Table_BDD[[#This Row],[Equité avant trade]])/Table_BDD[[#This Row],[Equité avant trade]])</f>
        <v>-1.9117245436020775E-3</v>
      </c>
      <c r="AK41" s="35" t="str">
        <f>IFERROR(((INDEX(Table_BDD[[Trade n°]:[Valeur fin de journée unique]],Table_BDD[[#This Row],[Nb de trade du jour]]+Table_BDD[[#This Row],[Trade n°]]-1,21))-Table_BDD[[#This Row],[Valeur début de journée unique]])/Table_BDD[[#This Row],[Valeur début de journée unique]],"")</f>
        <v/>
      </c>
      <c r="AL41" s="32">
        <f>IF(Table_BDD[[#This Row],[Position]]="","",MAX(Table_BDD[[#This Row],[Cumul équité]],AL40))</f>
        <v>1019.44</v>
      </c>
      <c r="AM41" s="32">
        <f>IF(Table_BDD[[#This Row],[Position]]="","",MIN(Table_BDD[[#This Row],[Cumul équité]],AL40))</f>
        <v>950.2</v>
      </c>
      <c r="AN41" s="97">
        <f>IF(Table_BDD[[#This Row],[Sommet Drawdown]]&gt;AL40,"",Table_BDD[[#This Row],[Creux Drawdown]]/Table_BDD[[#This Row],[Sommet Drawdown]]-1)</f>
        <v>-6.7919642156478055E-2</v>
      </c>
      <c r="AO41" s="36">
        <f>IF(Table_BDD[[#This Row],[Position]]="","",IF(Table_BDD[[#This Row],[Type]]="buy",ROUND(Table_BDD[[#This Row],[Lvl Sortie]]-Table_BDD[[#This Row],[Lvl Entrée]],1),ROUND(Table_BDD[[#This Row],[Lvl Entrée]]-Table_BDD[[#This Row],[Lvl Sortie]],1)))</f>
        <v>-4</v>
      </c>
      <c r="AP41" s="36" t="str">
        <f>IF(Table_BDD[[#This Row],[Points]]&gt;0,Table_BDD[[#This Row],[Points]],"")</f>
        <v/>
      </c>
      <c r="AQ41" s="36">
        <f>IF(Table_BDD[[#This Row],[Points]]&lt;0,Table_BDD[[#This Row],[Points]],"")</f>
        <v>-4</v>
      </c>
      <c r="AR41" s="36">
        <f>SUM($AO$4:AO41)</f>
        <v>-109.5</v>
      </c>
      <c r="AS41" s="68">
        <f>IF(Table_BDD[[#This Row],[Position]]="","",IF(Table_BDD[[#This Row],[Conformité]]="Conforme",1,0))</f>
        <v>0</v>
      </c>
      <c r="AT41" s="68">
        <f>IF(Table_BDD[[#This Row],[Position]]="","",IF(Table_BDD[[#This Row],[Conformité]]="Non conforme",1,0))</f>
        <v>1</v>
      </c>
      <c r="AU41" s="37" t="s">
        <v>17</v>
      </c>
      <c r="AV41" s="37"/>
      <c r="AW41" s="37"/>
      <c r="AX41" s="37">
        <v>0</v>
      </c>
      <c r="AY41" s="37">
        <v>0</v>
      </c>
      <c r="AZ41" s="37">
        <v>0</v>
      </c>
      <c r="BA41" s="37" t="str">
        <f>IF(Table_BDD[[#This Row],[Position]]="","Sans objet",IF(AND(Table_BDD[[#This Row],[Type]]="sell",Table_BDD[[#This Row],[S / L]]&lt;Table_BDD[[#This Row],[Lvl Entrée]],Table_BDD[[#This Row],[Lvl Sortie]]&lt;=Table_BDD[[#This Row],[S / L]]+2,Table_BDD[[#This Row],[Lvl Sortie]]&lt;Table_BDD[[#This Row],[Lvl Entrée]]-19),"Oui",IF(AND(Table_BDD[[#This Row],[Type]]="buy",Table_BDD[[#This Row],[S / L]]&gt;Table_BDD[[#This Row],[Lvl Entrée]],Table_BDD[[#This Row],[Lvl Sortie]]&gt;=Table_BDD[[#This Row],[S / L]]-2,Table_BDD[[#This Row],[S / L]]&gt;Table_BDD[[#This Row],[Lvl Entrée]]+19),"Oui","Non")))</f>
        <v>Non</v>
      </c>
      <c r="BB41" s="37" t="str">
        <f>IF(Table_BDD[[#This Row],[Position]]="","Sans objet",IF(AND(Table_BDD[[#This Row],[Type]]="sell",Table_BDD[[#This Row],[S / L]]&lt;Table_BDD[[#This Row],[Lvl Entrée]],Table_BDD[[#This Row],[Points]]&gt;=-1),"Oui",IF(AND(Table_BDD[[#This Row],[Type]]="sell",Table_BDD[[#This Row],[S / L]]&gt;Table_BDD[[#This Row],[Lvl Entrée]]),"Non",IF(AND(Table_BDD[[#This Row],[Type]]="buy",Table_BDD[[#This Row],[S / L]]&lt;Table_BDD[[#This Row],[Lvl Entrée]]),"Non",IF(AND(Table_BDD[[#This Row],[Type]]="buy",Table_BDD[[#This Row],[S / L]]&gt;Table_BDD[[#This Row],[Lvl Entrée]],Table_BDD[[#This Row],[Points]]&gt;=-1),"Oui")))))</f>
        <v>Non</v>
      </c>
      <c r="BC41" s="37" t="str">
        <f>IF(Table_BDD[[#This Row],[Position]]="","Sans objet",IF(Table_BDD[[#This Row],[T / P]]="","Non",IF(AND(Table_BDD[[#This Row],[Type]]="sell",Table_BDD[[#This Row],[Lvl Sortie]]&lt;=Table_BDD[[#This Row],[T / P]]),"Oui",IF(AND(Table_BDD[[#This Row],[Type]]="buy",Table_BDD[[#This Row],[Lvl Sortie]]&gt;=Table_BDD[[#This Row],[T / P]]),"Oui","Non"))))</f>
        <v>Non</v>
      </c>
      <c r="BD41" s="91">
        <f t="array" ref="BD41">IFERROR(INDEX(downloadFile[#All],MATCH(Table_BDD[[#This Row],[Date]],downloadFile[[#All],[Column1]],0),2),BD40)</f>
        <v>1.1023000000000001</v>
      </c>
      <c r="BE41" s="89">
        <f>IF(Table_BDD[[#This Row],[Position]]="","",IF(Table_BDD[[#This Row],[Symbole]]="UsaInd",(Table_BDD[[#This Row],[Volume]]*Table_BDD[[#This Row],[Lvl Entrée]])/(Table_BDD[[#This Row],[Equité avant trade]]*Table_BDD[[#This Row],[EUR/USD]]),IF(Table_BDD[[#This Row],[Symbole]]="Ger30",(Table_BDD[[#This Row],[Volume]]*Table_BDD[[#This Row],[Lvl Entrée]])/Table_BDD[[#This Row],[Equité avant trade]],)))</f>
        <v>13.831097696813625</v>
      </c>
      <c r="BF41" s="38">
        <f>IF(Table_BDD[[#This Row],[Position]]="","",IF(Table_BDD[[#This Row],[Conformité]]="Non conforme",0,(MROUND(3*((Table_BDD[[#This Row],[Conviction]]+Table_BDD[[#This Row],[Timing]]+Table_BDD[[#This Row],[Sortie]])+1)-2,1))))</f>
        <v>0</v>
      </c>
      <c r="BG41" s="38" t="str">
        <f>IF(Table_BDD[[#This Row],[Position]]="","",IF(Table_BDD[[#This Row],[Points]]&lt;-5,"--",IF(AND(Table_BDD[[#This Row],[Points]]&gt;=-5,Table_BDD[[#This Row],[Points]]&lt;-1.5),"-",IF(AND(Table_BDD[[#This Row],[Points]]&gt;=-1.5,Table_BDD[[#This Row],[Points]]&lt;1.5),"0",IF(AND(Table_BDD[[#This Row],[Points]]&gt;=1.5,Table_BDD[[#This Row],[Points]]&lt;=70),"+",IF(Table_BDD[[#This Row],[Points]]&gt;70,"++"))))))</f>
        <v>-</v>
      </c>
      <c r="BH41" s="37" t="str">
        <f>IF(Table_BDD[[#This Row],[Position]]="","",IF(Table_BDD[[#This Row],[Points]]&gt;0,"Gagnant",IF(Table_BDD[[#This Row],[Points]]=0,"Flat","Perdant")))</f>
        <v>Perdant</v>
      </c>
      <c r="BI41" s="40">
        <f>IF(Table_BDD[[#This Row],[Position]]="","",IF(Table_BDD[[#This Row],[Résultat]]="Gagnant",1,0))</f>
        <v>0</v>
      </c>
      <c r="BJ41" s="40">
        <f>IF(Table_BDD[[#This Row],[Position]]="","",IF(Table_BDD[[#This Row],[Résultat]]="Perdant",1,0))</f>
        <v>1</v>
      </c>
      <c r="BK41" s="40"/>
      <c r="BL41" s="145">
        <f>IF(Table_BDD[[#This Row],[T / P]]="","",Table_BDD[[#This Row],[T / P]])</f>
        <v>28776.97</v>
      </c>
      <c r="BM41" s="147"/>
      <c r="BN41" s="147"/>
      <c r="BO41" s="147"/>
      <c r="BP41" s="147"/>
      <c r="BQ41" s="127"/>
    </row>
    <row r="42" spans="1:69" x14ac:dyDescent="0.2">
      <c r="A42" s="93">
        <v>43866.687222222223</v>
      </c>
      <c r="B42" s="94">
        <v>259510113</v>
      </c>
      <c r="C42" s="37" t="s">
        <v>8</v>
      </c>
      <c r="D42" s="37" t="s">
        <v>9</v>
      </c>
      <c r="E42" s="37">
        <v>0.5</v>
      </c>
      <c r="F42" s="95">
        <v>29032.19</v>
      </c>
      <c r="G42" s="95">
        <v>29022.19</v>
      </c>
      <c r="H42" s="95">
        <v>29276.25</v>
      </c>
      <c r="I42" s="28">
        <v>43866.687650462962</v>
      </c>
      <c r="J42" s="95">
        <v>29022.19</v>
      </c>
      <c r="K42" s="95">
        <v>0</v>
      </c>
      <c r="L42" s="95">
        <v>0</v>
      </c>
      <c r="M42" s="32">
        <v>-4.54</v>
      </c>
      <c r="N42" s="148">
        <f>IF(Table_BDD[[#This Row],[Position]]="","",ROW()-3)</f>
        <v>39</v>
      </c>
      <c r="O42" s="32">
        <f>SUM($L$4:M42)</f>
        <v>-54.34</v>
      </c>
      <c r="P42" s="32">
        <f>Table_BDD[[#This Row],[Equité avant trade]]+Table_BDD[[#This Row],[Profit]]+Table_BDD[[#This Row],[Echange]]</f>
        <v>945.66</v>
      </c>
      <c r="Q42" s="52">
        <f>INT(Table_BDD[[#This Row],[Horodatage cloture]])</f>
        <v>43866</v>
      </c>
      <c r="R42" s="34">
        <f>WEEKNUM(Table_BDD[[#This Row],[Horodatage cloture]],2)</f>
        <v>6</v>
      </c>
      <c r="S42" s="61">
        <f>WEEKDAY(Table_BDD[[#This Row],[Horodatage cloture]])</f>
        <v>4</v>
      </c>
      <c r="T42" s="63">
        <f>HOUR(Table_BDD[[#This Row],[Horodatage cloture]])</f>
        <v>16</v>
      </c>
      <c r="U42" s="68">
        <f>IF(Table_BDD[[#This Row],[Position]]="","",IF(Table_BDD[[#This Row],[Valeur début de journée unique]]&lt;&gt;0,1,0))</f>
        <v>0</v>
      </c>
      <c r="V42" s="68" t="str">
        <f>IF(Table_BDD[[#This Row],[Nb de séance de trading]]=1,COUNTIF(Table_BDD[Date],Table_BDD[[#This Row],[Date]]),"")</f>
        <v/>
      </c>
      <c r="W42" s="33">
        <f>IF(Table_BDD[[#This Row],[Position]]="","",IF(Table_BDD[[#This Row],[Type]]="buy",ROUND(Table_BDD[[#This Row],[Lvl Entrée]]-Table_BDD[[#This Row],[S / L]],1),ROUND(Table_BDD[[#This Row],[S / L]]-Table_BDD[[#This Row],[Lvl Entrée]],1)))</f>
        <v>10</v>
      </c>
      <c r="X42" s="33">
        <f>IF(Table_BDD[[#This Row],[Position]]="","",IF(Table_BDD[[#This Row],[T / P]]=0,200,IF(Table_BDD[[#This Row],[Type]]="buy",ROUND(Table_BDD[[#This Row],[T / P]]-Table_BDD[[#This Row],[Lvl Entrée]],1),ROUND(Table_BDD[[#This Row],[Lvl Entrée]]-Table_BDD[[#This Row],[T / P]],1))))</f>
        <v>244.1</v>
      </c>
      <c r="Y42" s="34">
        <f>IF(Table_BDD[[#This Row],[Position]]="","",IF(Table_BDD[[#This Row],[Ecart du SL]]&gt;0,ROUND(ABS(Table_BDD[[#This Row],[Ecart du TP]])/ABS(Table_BDD[[#This Row],[Ecart du SL]]),1),ROUND(ABS(Table_BDD[[#This Row],[Ecart du TP]])/10,1)))</f>
        <v>24.4</v>
      </c>
      <c r="Z42" s="34">
        <f>IF(Table_BDD[[#This Row],[Position]]="","",IF(Table_BDD[[#This Row],[Ecart du SL]]&lt;0,IF(AND(Table_BDD[[#This Row],[Profit]]&gt;0,Table_BDD[[#This Row],[Type]]="sell"),ROUND((Table_BDD[[#This Row],[Lvl Entrée]]-Table_BDD[[#This Row],[Lvl Sortie]])/(10),1),IF(AND(Table_BDD[[#This Row],[Profit]]&gt;0,Table_BDD[[#This Row],[Type]]="buy"),ROUND((Table_BDD[[#This Row],[Lvl Sortie]]-Table_BDD[[#This Row],[Lvl Entrée]])/(10),1),)),IF(AND(Table_BDD[[#This Row],[Profit]]&gt;0,Table_BDD[[#This Row],[Type]]="sell"),ROUND((Table_BDD[[#This Row],[Lvl Entrée]]-Table_BDD[[#This Row],[Lvl Sortie]])/(Table_BDD[[#This Row],[S / L]]-Table_BDD[[#This Row],[Lvl Entrée]]),1),IF(AND(Table_BDD[[#This Row],[Profit]]&gt;0,Table_BDD[[#This Row],[Type]]="buy"),ROUND((Table_BDD[[#This Row],[Lvl Sortie]]-Table_BDD[[#This Row],[Lvl Entrée]])/(Table_BDD[[#This Row],[Lvl Entrée]]-Table_BDD[[#This Row],[S / L]]),1),ROUND(Table_BDD[[#This Row],[Points]]/10,1)))))</f>
        <v>-1</v>
      </c>
      <c r="AA42" s="32">
        <f>IF(Table_BDD[[#This Row],[Position]]="",AA41,Table_BDD[[#This Row],[Equité après trade]]-Table_BDD[[#This Row],[Profit]]-Table_BDD[[#This Row],[Echange]])</f>
        <v>950.19999999999993</v>
      </c>
      <c r="AB42" s="149">
        <f>$B$1+SUM($L$4:M42)</f>
        <v>945.66</v>
      </c>
      <c r="AC42" s="150">
        <f>IF(Table_BDD[[#This Row],[Position]]="","",_xlfn.MINIFS(Table_BDD[Horodatage ouverture],Table_BDD[Date],Table_BDD[Date]))</f>
        <v>43866.667986111112</v>
      </c>
      <c r="AD42" s="149">
        <f>VLOOKUP(_xlfn.MINIFS(Table_BDD[Horodatage ouverture],Table_BDD[Date],Table_BDD[Date]),Table_BDD[[Horodatage ouverture]:[Heure derniere valeur]],AA$2)</f>
        <v>1011.88</v>
      </c>
      <c r="AE42" s="149">
        <f>IF(VLOOKUP(_xlfn.MINIFS(Table_BDD[Horodatage ouverture],Table_BDD[Date],Table_BDD[Date]),Table_BDD[[Horodatage ouverture]:[Heure derniere valeur]],AA$2)=Table_BDD[[#This Row],[Equité avant trade]],VLOOKUP(_xlfn.MINIFS(Table_BDD[Horodatage ouverture],Table_BDD[Date],Table_BDD[Date]),Table_BDD[[Horodatage ouverture]:[Heure derniere valeur]],AA$2),0)</f>
        <v>0</v>
      </c>
      <c r="AF42" s="150">
        <f>IF(Table_BDD[[#This Row],[Position]]="","",_xlfn.MAXIFS(Table_BDD[Horodatage ouverture],Table_BDD[Date],Table_BDD[Date]))</f>
        <v>43866.695891203701</v>
      </c>
      <c r="AG42" s="32">
        <f>VLOOKUP(_xlfn.MAXIFS(Table_BDD[Horodatage cloture],Table_BDD[Date],Table_BDD[Date]),Table_BDD[[Horodatage ouverture]:[Heure derniere valeur]],AB$2)</f>
        <v>1017.63</v>
      </c>
      <c r="AH42" s="32">
        <f>IF(VLOOKUP(_xlfn.MAXIFS(Table_BDD[Horodatage cloture],Table_BDD[Date],Table_BDD[Date]),Table_BDD[[Horodatage ouverture]:[Heure derniere valeur]],AB$2)=Table_BDD[[#This Row],[Equité après trade]],VLOOKUP(_xlfn.MAXIFS(Table_BDD[Horodatage cloture],Table_BDD[Date],Table_BDD[Date]),Table_BDD[[Horodatage ouverture]:[Heure derniere valeur]],AB$2),0)</f>
        <v>0</v>
      </c>
      <c r="AI42" s="32" t="e">
        <f>IF(Table_BDD[[#This Row],[Valeur fin de journée unique]]=0,#N/A,Table_BDD[[#This Row],[Valeur fin de journée unique]])</f>
        <v>#N/A</v>
      </c>
      <c r="AJ42" s="35">
        <f>IF(Table_BDD[[#This Row],[Position]]="","",(Table_BDD[[#This Row],[Equité après trade]]-Table_BDD[[#This Row],[Equité avant trade]])/Table_BDD[[#This Row],[Equité avant trade]])</f>
        <v>-4.7779414860029089E-3</v>
      </c>
      <c r="AK42" s="35" t="str">
        <f>IFERROR(((INDEX(Table_BDD[[Trade n°]:[Valeur fin de journée unique]],Table_BDD[[#This Row],[Nb de trade du jour]]+Table_BDD[[#This Row],[Trade n°]]-1,21))-Table_BDD[[#This Row],[Valeur début de journée unique]])/Table_BDD[[#This Row],[Valeur début de journée unique]],"")</f>
        <v/>
      </c>
      <c r="AL42" s="32">
        <f>IF(Table_BDD[[#This Row],[Position]]="","",MAX(Table_BDD[[#This Row],[Cumul équité]],AL41))</f>
        <v>1019.44</v>
      </c>
      <c r="AM42" s="32">
        <f>IF(Table_BDD[[#This Row],[Position]]="","",MIN(Table_BDD[[#This Row],[Cumul équité]],AL41))</f>
        <v>945.66</v>
      </c>
      <c r="AN42" s="97">
        <f>IF(Table_BDD[[#This Row],[Sommet Drawdown]]&gt;AL41,"",Table_BDD[[#This Row],[Creux Drawdown]]/Table_BDD[[#This Row],[Sommet Drawdown]]-1)</f>
        <v>-7.2373067566507188E-2</v>
      </c>
      <c r="AO42" s="36">
        <f>IF(Table_BDD[[#This Row],[Position]]="","",IF(Table_BDD[[#This Row],[Type]]="buy",ROUND(Table_BDD[[#This Row],[Lvl Sortie]]-Table_BDD[[#This Row],[Lvl Entrée]],1),ROUND(Table_BDD[[#This Row],[Lvl Entrée]]-Table_BDD[[#This Row],[Lvl Sortie]],1)))</f>
        <v>-10</v>
      </c>
      <c r="AP42" s="36" t="str">
        <f>IF(Table_BDD[[#This Row],[Points]]&gt;0,Table_BDD[[#This Row],[Points]],"")</f>
        <v/>
      </c>
      <c r="AQ42" s="36">
        <f>IF(Table_BDD[[#This Row],[Points]]&lt;0,Table_BDD[[#This Row],[Points]],"")</f>
        <v>-10</v>
      </c>
      <c r="AR42" s="36">
        <f>SUM($AO$4:AO42)</f>
        <v>-119.5</v>
      </c>
      <c r="AS42" s="68">
        <f>IF(Table_BDD[[#This Row],[Position]]="","",IF(Table_BDD[[#This Row],[Conformité]]="Conforme",1,0))</f>
        <v>0</v>
      </c>
      <c r="AT42" s="68">
        <f>IF(Table_BDD[[#This Row],[Position]]="","",IF(Table_BDD[[#This Row],[Conformité]]="Non conforme",1,0))</f>
        <v>1</v>
      </c>
      <c r="AU42" s="37" t="s">
        <v>17</v>
      </c>
      <c r="AV42" s="37"/>
      <c r="AW42" s="37"/>
      <c r="AX42" s="37">
        <v>0</v>
      </c>
      <c r="AY42" s="37">
        <v>0</v>
      </c>
      <c r="AZ42" s="37">
        <v>0</v>
      </c>
      <c r="BA42" s="37" t="str">
        <f>IF(Table_BDD[[#This Row],[Position]]="","Sans objet",IF(AND(Table_BDD[[#This Row],[Type]]="sell",Table_BDD[[#This Row],[S / L]]&lt;Table_BDD[[#This Row],[Lvl Entrée]],Table_BDD[[#This Row],[Lvl Sortie]]&lt;=Table_BDD[[#This Row],[S / L]]+2,Table_BDD[[#This Row],[Lvl Sortie]]&lt;Table_BDD[[#This Row],[Lvl Entrée]]-19),"Oui",IF(AND(Table_BDD[[#This Row],[Type]]="buy",Table_BDD[[#This Row],[S / L]]&gt;Table_BDD[[#This Row],[Lvl Entrée]],Table_BDD[[#This Row],[Lvl Sortie]]&gt;=Table_BDD[[#This Row],[S / L]]-2,Table_BDD[[#This Row],[S / L]]&gt;Table_BDD[[#This Row],[Lvl Entrée]]+19),"Oui","Non")))</f>
        <v>Non</v>
      </c>
      <c r="BB42" s="37" t="str">
        <f>IF(Table_BDD[[#This Row],[Position]]="","Sans objet",IF(AND(Table_BDD[[#This Row],[Type]]="sell",Table_BDD[[#This Row],[S / L]]&lt;Table_BDD[[#This Row],[Lvl Entrée]],Table_BDD[[#This Row],[Points]]&gt;=-1),"Oui",IF(AND(Table_BDD[[#This Row],[Type]]="sell",Table_BDD[[#This Row],[S / L]]&gt;Table_BDD[[#This Row],[Lvl Entrée]]),"Non",IF(AND(Table_BDD[[#This Row],[Type]]="buy",Table_BDD[[#This Row],[S / L]]&lt;Table_BDD[[#This Row],[Lvl Entrée]]),"Non",IF(AND(Table_BDD[[#This Row],[Type]]="buy",Table_BDD[[#This Row],[S / L]]&gt;Table_BDD[[#This Row],[Lvl Entrée]],Table_BDD[[#This Row],[Points]]&gt;=-1),"Oui")))))</f>
        <v>Non</v>
      </c>
      <c r="BC42" s="37" t="str">
        <f>IF(Table_BDD[[#This Row],[Position]]="","Sans objet",IF(Table_BDD[[#This Row],[T / P]]="","Non",IF(AND(Table_BDD[[#This Row],[Type]]="sell",Table_BDD[[#This Row],[Lvl Sortie]]&lt;=Table_BDD[[#This Row],[T / P]]),"Oui",IF(AND(Table_BDD[[#This Row],[Type]]="buy",Table_BDD[[#This Row],[Lvl Sortie]]&gt;=Table_BDD[[#This Row],[T / P]]),"Oui","Non"))))</f>
        <v>Non</v>
      </c>
      <c r="BD42" s="91">
        <f t="array" ref="BD42">IFERROR(INDEX(downloadFile[#All],MATCH(Table_BDD[[#This Row],[Date]],downloadFile[[#All],[Column1]],0),2),BD41)</f>
        <v>1.1023000000000001</v>
      </c>
      <c r="BE42" s="89">
        <f>IF(Table_BDD[[#This Row],[Position]]="","",IF(Table_BDD[[#This Row],[Symbole]]="UsaInd",(Table_BDD[[#This Row],[Volume]]*Table_BDD[[#This Row],[Lvl Entrée]])/(Table_BDD[[#This Row],[Equité avant trade]]*Table_BDD[[#This Row],[EUR/USD]]),IF(Table_BDD[[#This Row],[Symbole]]="Ger30",(Table_BDD[[#This Row],[Volume]]*Table_BDD[[#This Row],[Lvl Entrée]])/Table_BDD[[#This Row],[Equité avant trade]],)))</f>
        <v>13.859098080317436</v>
      </c>
      <c r="BF42" s="38">
        <f>IF(Table_BDD[[#This Row],[Position]]="","",IF(Table_BDD[[#This Row],[Conformité]]="Non conforme",0,(MROUND(3*((Table_BDD[[#This Row],[Conviction]]+Table_BDD[[#This Row],[Timing]]+Table_BDD[[#This Row],[Sortie]])+1)-2,1))))</f>
        <v>0</v>
      </c>
      <c r="BG42" s="38" t="str">
        <f>IF(Table_BDD[[#This Row],[Position]]="","",IF(Table_BDD[[#This Row],[Points]]&lt;-5,"--",IF(AND(Table_BDD[[#This Row],[Points]]&gt;=-5,Table_BDD[[#This Row],[Points]]&lt;-1.5),"-",IF(AND(Table_BDD[[#This Row],[Points]]&gt;=-1.5,Table_BDD[[#This Row],[Points]]&lt;1.5),"0",IF(AND(Table_BDD[[#This Row],[Points]]&gt;=1.5,Table_BDD[[#This Row],[Points]]&lt;=70),"+",IF(Table_BDD[[#This Row],[Points]]&gt;70,"++"))))))</f>
        <v>--</v>
      </c>
      <c r="BH42" s="37" t="str">
        <f>IF(Table_BDD[[#This Row],[Position]]="","",IF(Table_BDD[[#This Row],[Points]]&gt;0,"Gagnant",IF(Table_BDD[[#This Row],[Points]]=0,"Flat","Perdant")))</f>
        <v>Perdant</v>
      </c>
      <c r="BI42" s="40">
        <f>IF(Table_BDD[[#This Row],[Position]]="","",IF(Table_BDD[[#This Row],[Résultat]]="Gagnant",1,0))</f>
        <v>0</v>
      </c>
      <c r="BJ42" s="40">
        <f>IF(Table_BDD[[#This Row],[Position]]="","",IF(Table_BDD[[#This Row],[Résultat]]="Perdant",1,0))</f>
        <v>1</v>
      </c>
      <c r="BK42" s="40"/>
      <c r="BL42" s="145">
        <f>IF(Table_BDD[[#This Row],[T / P]]="","",Table_BDD[[#This Row],[T / P]])</f>
        <v>29276.25</v>
      </c>
      <c r="BM42" s="147"/>
      <c r="BN42" s="147"/>
      <c r="BO42" s="147"/>
      <c r="BP42" s="147"/>
      <c r="BQ42" s="127"/>
    </row>
    <row r="43" spans="1:69" x14ac:dyDescent="0.2">
      <c r="A43" s="93">
        <v>43866.687673611108</v>
      </c>
      <c r="B43" s="94">
        <v>259510225</v>
      </c>
      <c r="C43" s="37" t="s">
        <v>8</v>
      </c>
      <c r="D43" s="37" t="s">
        <v>9</v>
      </c>
      <c r="E43" s="37">
        <v>0.5</v>
      </c>
      <c r="F43" s="95">
        <v>29021.08</v>
      </c>
      <c r="G43" s="95">
        <v>29011.08</v>
      </c>
      <c r="H43" s="95">
        <v>29271.08</v>
      </c>
      <c r="I43" s="28">
        <v>43866.691828703704</v>
      </c>
      <c r="J43" s="95">
        <v>29009.99</v>
      </c>
      <c r="K43" s="95">
        <v>0</v>
      </c>
      <c r="L43" s="95">
        <v>0</v>
      </c>
      <c r="M43" s="32">
        <v>-5.04</v>
      </c>
      <c r="N43" s="148">
        <f>IF(Table_BDD[[#This Row],[Position]]="","",ROW()-3)</f>
        <v>40</v>
      </c>
      <c r="O43" s="32">
        <f>SUM($L$4:M43)</f>
        <v>-59.38</v>
      </c>
      <c r="P43" s="32">
        <f>Table_BDD[[#This Row],[Equité avant trade]]+Table_BDD[[#This Row],[Profit]]+Table_BDD[[#This Row],[Echange]]</f>
        <v>940.62</v>
      </c>
      <c r="Q43" s="52">
        <f>INT(Table_BDD[[#This Row],[Horodatage cloture]])</f>
        <v>43866</v>
      </c>
      <c r="R43" s="34">
        <f>WEEKNUM(Table_BDD[[#This Row],[Horodatage cloture]],2)</f>
        <v>6</v>
      </c>
      <c r="S43" s="61">
        <f>WEEKDAY(Table_BDD[[#This Row],[Horodatage cloture]])</f>
        <v>4</v>
      </c>
      <c r="T43" s="63">
        <f>HOUR(Table_BDD[[#This Row],[Horodatage cloture]])</f>
        <v>16</v>
      </c>
      <c r="U43" s="68">
        <f>IF(Table_BDD[[#This Row],[Position]]="","",IF(Table_BDD[[#This Row],[Valeur début de journée unique]]&lt;&gt;0,1,0))</f>
        <v>0</v>
      </c>
      <c r="V43" s="68" t="str">
        <f>IF(Table_BDD[[#This Row],[Nb de séance de trading]]=1,COUNTIF(Table_BDD[Date],Table_BDD[[#This Row],[Date]]),"")</f>
        <v/>
      </c>
      <c r="W43" s="33">
        <f>IF(Table_BDD[[#This Row],[Position]]="","",IF(Table_BDD[[#This Row],[Type]]="buy",ROUND(Table_BDD[[#This Row],[Lvl Entrée]]-Table_BDD[[#This Row],[S / L]],1),ROUND(Table_BDD[[#This Row],[S / L]]-Table_BDD[[#This Row],[Lvl Entrée]],1)))</f>
        <v>10</v>
      </c>
      <c r="X43" s="33">
        <f>IF(Table_BDD[[#This Row],[Position]]="","",IF(Table_BDD[[#This Row],[T / P]]=0,200,IF(Table_BDD[[#This Row],[Type]]="buy",ROUND(Table_BDD[[#This Row],[T / P]]-Table_BDD[[#This Row],[Lvl Entrée]],1),ROUND(Table_BDD[[#This Row],[Lvl Entrée]]-Table_BDD[[#This Row],[T / P]],1))))</f>
        <v>250</v>
      </c>
      <c r="Y43" s="34">
        <f>IF(Table_BDD[[#This Row],[Position]]="","",IF(Table_BDD[[#This Row],[Ecart du SL]]&gt;0,ROUND(ABS(Table_BDD[[#This Row],[Ecart du TP]])/ABS(Table_BDD[[#This Row],[Ecart du SL]]),1),ROUND(ABS(Table_BDD[[#This Row],[Ecart du TP]])/10,1)))</f>
        <v>25</v>
      </c>
      <c r="Z43" s="34">
        <f>IF(Table_BDD[[#This Row],[Position]]="","",IF(Table_BDD[[#This Row],[Ecart du SL]]&lt;0,IF(AND(Table_BDD[[#This Row],[Profit]]&gt;0,Table_BDD[[#This Row],[Type]]="sell"),ROUND((Table_BDD[[#This Row],[Lvl Entrée]]-Table_BDD[[#This Row],[Lvl Sortie]])/(10),1),IF(AND(Table_BDD[[#This Row],[Profit]]&gt;0,Table_BDD[[#This Row],[Type]]="buy"),ROUND((Table_BDD[[#This Row],[Lvl Sortie]]-Table_BDD[[#This Row],[Lvl Entrée]])/(10),1),)),IF(AND(Table_BDD[[#This Row],[Profit]]&gt;0,Table_BDD[[#This Row],[Type]]="sell"),ROUND((Table_BDD[[#This Row],[Lvl Entrée]]-Table_BDD[[#This Row],[Lvl Sortie]])/(Table_BDD[[#This Row],[S / L]]-Table_BDD[[#This Row],[Lvl Entrée]]),1),IF(AND(Table_BDD[[#This Row],[Profit]]&gt;0,Table_BDD[[#This Row],[Type]]="buy"),ROUND((Table_BDD[[#This Row],[Lvl Sortie]]-Table_BDD[[#This Row],[Lvl Entrée]])/(Table_BDD[[#This Row],[Lvl Entrée]]-Table_BDD[[#This Row],[S / L]]),1),ROUND(Table_BDD[[#This Row],[Points]]/10,1)))))</f>
        <v>-1.1000000000000001</v>
      </c>
      <c r="AA43" s="32">
        <f>IF(Table_BDD[[#This Row],[Position]]="",AA42,Table_BDD[[#This Row],[Equité après trade]]-Table_BDD[[#This Row],[Profit]]-Table_BDD[[#This Row],[Echange]])</f>
        <v>945.66</v>
      </c>
      <c r="AB43" s="149">
        <f>$B$1+SUM($L$4:M43)</f>
        <v>940.62</v>
      </c>
      <c r="AC43" s="150">
        <f>IF(Table_BDD[[#This Row],[Position]]="","",_xlfn.MINIFS(Table_BDD[Horodatage ouverture],Table_BDD[Date],Table_BDD[Date]))</f>
        <v>43866.667986111112</v>
      </c>
      <c r="AD43" s="149">
        <f>VLOOKUP(_xlfn.MINIFS(Table_BDD[Horodatage ouverture],Table_BDD[Date],Table_BDD[Date]),Table_BDD[[Horodatage ouverture]:[Heure derniere valeur]],AA$2)</f>
        <v>1011.88</v>
      </c>
      <c r="AE43" s="149">
        <f>IF(VLOOKUP(_xlfn.MINIFS(Table_BDD[Horodatage ouverture],Table_BDD[Date],Table_BDD[Date]),Table_BDD[[Horodatage ouverture]:[Heure derniere valeur]],AA$2)=Table_BDD[[#This Row],[Equité avant trade]],VLOOKUP(_xlfn.MINIFS(Table_BDD[Horodatage ouverture],Table_BDD[Date],Table_BDD[Date]),Table_BDD[[Horodatage ouverture]:[Heure derniere valeur]],AA$2),0)</f>
        <v>0</v>
      </c>
      <c r="AF43" s="150">
        <f>IF(Table_BDD[[#This Row],[Position]]="","",_xlfn.MAXIFS(Table_BDD[Horodatage ouverture],Table_BDD[Date],Table_BDD[Date]))</f>
        <v>43866.695891203701</v>
      </c>
      <c r="AG43" s="32">
        <f>VLOOKUP(_xlfn.MAXIFS(Table_BDD[Horodatage cloture],Table_BDD[Date],Table_BDD[Date]),Table_BDD[[Horodatage ouverture]:[Heure derniere valeur]],AB$2)</f>
        <v>1017.63</v>
      </c>
      <c r="AH43" s="32">
        <f>IF(VLOOKUP(_xlfn.MAXIFS(Table_BDD[Horodatage cloture],Table_BDD[Date],Table_BDD[Date]),Table_BDD[[Horodatage ouverture]:[Heure derniere valeur]],AB$2)=Table_BDD[[#This Row],[Equité après trade]],VLOOKUP(_xlfn.MAXIFS(Table_BDD[Horodatage cloture],Table_BDD[Date],Table_BDD[Date]),Table_BDD[[Horodatage ouverture]:[Heure derniere valeur]],AB$2),0)</f>
        <v>0</v>
      </c>
      <c r="AI43" s="32" t="e">
        <f>IF(Table_BDD[[#This Row],[Valeur fin de journée unique]]=0,#N/A,Table_BDD[[#This Row],[Valeur fin de journée unique]])</f>
        <v>#N/A</v>
      </c>
      <c r="AJ43" s="35">
        <f>IF(Table_BDD[[#This Row],[Position]]="","",(Table_BDD[[#This Row],[Equité après trade]]-Table_BDD[[#This Row],[Equité avant trade]])/Table_BDD[[#This Row],[Equité avant trade]])</f>
        <v>-5.3296110652876968E-3</v>
      </c>
      <c r="AK43" s="35" t="str">
        <f>IFERROR(((INDEX(Table_BDD[[Trade n°]:[Valeur fin de journée unique]],Table_BDD[[#This Row],[Nb de trade du jour]]+Table_BDD[[#This Row],[Trade n°]]-1,21))-Table_BDD[[#This Row],[Valeur début de journée unique]])/Table_BDD[[#This Row],[Valeur début de journée unique]],"")</f>
        <v/>
      </c>
      <c r="AL43" s="32">
        <f>IF(Table_BDD[[#This Row],[Position]]="","",MAX(Table_BDD[[#This Row],[Cumul équité]],AL42))</f>
        <v>1019.44</v>
      </c>
      <c r="AM43" s="32">
        <f>IF(Table_BDD[[#This Row],[Position]]="","",MIN(Table_BDD[[#This Row],[Cumul équité]],AL42))</f>
        <v>940.62</v>
      </c>
      <c r="AN43" s="97">
        <f>IF(Table_BDD[[#This Row],[Sommet Drawdown]]&gt;AL42,"",Table_BDD[[#This Row],[Creux Drawdown]]/Table_BDD[[#This Row],[Sommet Drawdown]]-1)</f>
        <v>-7.7316958330063579E-2</v>
      </c>
      <c r="AO43" s="36">
        <f>IF(Table_BDD[[#This Row],[Position]]="","",IF(Table_BDD[[#This Row],[Type]]="buy",ROUND(Table_BDD[[#This Row],[Lvl Sortie]]-Table_BDD[[#This Row],[Lvl Entrée]],1),ROUND(Table_BDD[[#This Row],[Lvl Entrée]]-Table_BDD[[#This Row],[Lvl Sortie]],1)))</f>
        <v>-11.1</v>
      </c>
      <c r="AP43" s="36" t="str">
        <f>IF(Table_BDD[[#This Row],[Points]]&gt;0,Table_BDD[[#This Row],[Points]],"")</f>
        <v/>
      </c>
      <c r="AQ43" s="36">
        <f>IF(Table_BDD[[#This Row],[Points]]&lt;0,Table_BDD[[#This Row],[Points]],"")</f>
        <v>-11.1</v>
      </c>
      <c r="AR43" s="36">
        <f>SUM($AO$4:AO43)</f>
        <v>-130.6</v>
      </c>
      <c r="AS43" s="68">
        <f>IF(Table_BDD[[#This Row],[Position]]="","",IF(Table_BDD[[#This Row],[Conformité]]="Conforme",1,0))</f>
        <v>0</v>
      </c>
      <c r="AT43" s="68">
        <f>IF(Table_BDD[[#This Row],[Position]]="","",IF(Table_BDD[[#This Row],[Conformité]]="Non conforme",1,0))</f>
        <v>1</v>
      </c>
      <c r="AU43" s="37" t="s">
        <v>17</v>
      </c>
      <c r="AV43" s="37"/>
      <c r="AW43" s="37"/>
      <c r="AX43" s="37">
        <v>0</v>
      </c>
      <c r="AY43" s="37">
        <v>0</v>
      </c>
      <c r="AZ43" s="37">
        <v>0</v>
      </c>
      <c r="BA43" s="37" t="str">
        <f>IF(Table_BDD[[#This Row],[Position]]="","Sans objet",IF(AND(Table_BDD[[#This Row],[Type]]="sell",Table_BDD[[#This Row],[S / L]]&lt;Table_BDD[[#This Row],[Lvl Entrée]],Table_BDD[[#This Row],[Lvl Sortie]]&lt;=Table_BDD[[#This Row],[S / L]]+2,Table_BDD[[#This Row],[Lvl Sortie]]&lt;Table_BDD[[#This Row],[Lvl Entrée]]-19),"Oui",IF(AND(Table_BDD[[#This Row],[Type]]="buy",Table_BDD[[#This Row],[S / L]]&gt;Table_BDD[[#This Row],[Lvl Entrée]],Table_BDD[[#This Row],[Lvl Sortie]]&gt;=Table_BDD[[#This Row],[S / L]]-2,Table_BDD[[#This Row],[S / L]]&gt;Table_BDD[[#This Row],[Lvl Entrée]]+19),"Oui","Non")))</f>
        <v>Non</v>
      </c>
      <c r="BB43" s="37" t="str">
        <f>IF(Table_BDD[[#This Row],[Position]]="","Sans objet",IF(AND(Table_BDD[[#This Row],[Type]]="sell",Table_BDD[[#This Row],[S / L]]&lt;Table_BDD[[#This Row],[Lvl Entrée]],Table_BDD[[#This Row],[Points]]&gt;=-1),"Oui",IF(AND(Table_BDD[[#This Row],[Type]]="sell",Table_BDD[[#This Row],[S / L]]&gt;Table_BDD[[#This Row],[Lvl Entrée]]),"Non",IF(AND(Table_BDD[[#This Row],[Type]]="buy",Table_BDD[[#This Row],[S / L]]&lt;Table_BDD[[#This Row],[Lvl Entrée]]),"Non",IF(AND(Table_BDD[[#This Row],[Type]]="buy",Table_BDD[[#This Row],[S / L]]&gt;Table_BDD[[#This Row],[Lvl Entrée]],Table_BDD[[#This Row],[Points]]&gt;=-1),"Oui")))))</f>
        <v>Non</v>
      </c>
      <c r="BC43" s="37" t="str">
        <f>IF(Table_BDD[[#This Row],[Position]]="","Sans objet",IF(Table_BDD[[#This Row],[T / P]]="","Non",IF(AND(Table_BDD[[#This Row],[Type]]="sell",Table_BDD[[#This Row],[Lvl Sortie]]&lt;=Table_BDD[[#This Row],[T / P]]),"Oui",IF(AND(Table_BDD[[#This Row],[Type]]="buy",Table_BDD[[#This Row],[Lvl Sortie]]&gt;=Table_BDD[[#This Row],[T / P]]),"Oui","Non"))))</f>
        <v>Non</v>
      </c>
      <c r="BD43" s="91">
        <f t="array" ref="BD43">IFERROR(INDEX(downloadFile[#All],MATCH(Table_BDD[[#This Row],[Date]],downloadFile[[#All],[Column1]],0),2),BD42)</f>
        <v>1.1023000000000001</v>
      </c>
      <c r="BE43" s="89">
        <f>IF(Table_BDD[[#This Row],[Position]]="","",IF(Table_BDD[[#This Row],[Symbole]]="UsaInd",(Table_BDD[[#This Row],[Volume]]*Table_BDD[[#This Row],[Lvl Entrée]])/(Table_BDD[[#This Row],[Equité avant trade]]*Table_BDD[[#This Row],[EUR/USD]]),IF(Table_BDD[[#This Row],[Symbole]]="Ger30",(Table_BDD[[#This Row],[Volume]]*Table_BDD[[#This Row],[Lvl Entrée]])/Table_BDD[[#This Row],[Equité avant trade]],)))</f>
        <v>13.920304901313902</v>
      </c>
      <c r="BF43" s="38">
        <f>IF(Table_BDD[[#This Row],[Position]]="","",IF(Table_BDD[[#This Row],[Conformité]]="Non conforme",0,(MROUND(3*((Table_BDD[[#This Row],[Conviction]]+Table_BDD[[#This Row],[Timing]]+Table_BDD[[#This Row],[Sortie]])+1)-2,1))))</f>
        <v>0</v>
      </c>
      <c r="BG43" s="38" t="str">
        <f>IF(Table_BDD[[#This Row],[Position]]="","",IF(Table_BDD[[#This Row],[Points]]&lt;-5,"--",IF(AND(Table_BDD[[#This Row],[Points]]&gt;=-5,Table_BDD[[#This Row],[Points]]&lt;-1.5),"-",IF(AND(Table_BDD[[#This Row],[Points]]&gt;=-1.5,Table_BDD[[#This Row],[Points]]&lt;1.5),"0",IF(AND(Table_BDD[[#This Row],[Points]]&gt;=1.5,Table_BDD[[#This Row],[Points]]&lt;=70),"+",IF(Table_BDD[[#This Row],[Points]]&gt;70,"++"))))))</f>
        <v>--</v>
      </c>
      <c r="BH43" s="37" t="str">
        <f>IF(Table_BDD[[#This Row],[Position]]="","",IF(Table_BDD[[#This Row],[Points]]&gt;0,"Gagnant",IF(Table_BDD[[#This Row],[Points]]=0,"Flat","Perdant")))</f>
        <v>Perdant</v>
      </c>
      <c r="BI43" s="40">
        <f>IF(Table_BDD[[#This Row],[Position]]="","",IF(Table_BDD[[#This Row],[Résultat]]="Gagnant",1,0))</f>
        <v>0</v>
      </c>
      <c r="BJ43" s="40">
        <f>IF(Table_BDD[[#This Row],[Position]]="","",IF(Table_BDD[[#This Row],[Résultat]]="Perdant",1,0))</f>
        <v>1</v>
      </c>
      <c r="BK43" s="40"/>
      <c r="BL43" s="145">
        <f>IF(Table_BDD[[#This Row],[T / P]]="","",Table_BDD[[#This Row],[T / P]])</f>
        <v>29271.08</v>
      </c>
      <c r="BM43" s="147"/>
      <c r="BN43" s="147"/>
      <c r="BO43" s="147"/>
      <c r="BP43" s="147"/>
      <c r="BQ43" s="127"/>
    </row>
    <row r="44" spans="1:69" x14ac:dyDescent="0.2">
      <c r="A44" s="93">
        <v>43866.691874999997</v>
      </c>
      <c r="B44" s="94">
        <v>259510869</v>
      </c>
      <c r="C44" s="37" t="s">
        <v>8</v>
      </c>
      <c r="D44" s="37" t="s">
        <v>9</v>
      </c>
      <c r="E44" s="37">
        <v>0.5</v>
      </c>
      <c r="F44" s="95">
        <v>29012.22</v>
      </c>
      <c r="G44" s="95">
        <v>29001.08</v>
      </c>
      <c r="H44" s="95">
        <v>29272.22</v>
      </c>
      <c r="I44" s="28">
        <v>43866.695</v>
      </c>
      <c r="J44" s="95">
        <v>29001.06</v>
      </c>
      <c r="K44" s="95">
        <v>0</v>
      </c>
      <c r="L44" s="95">
        <v>0</v>
      </c>
      <c r="M44" s="32">
        <v>-5.07</v>
      </c>
      <c r="N44" s="148">
        <f>IF(Table_BDD[[#This Row],[Position]]="","",ROW()-3)</f>
        <v>41</v>
      </c>
      <c r="O44" s="32">
        <f>SUM($L$4:M44)</f>
        <v>-64.45</v>
      </c>
      <c r="P44" s="32">
        <f>Table_BDD[[#This Row],[Equité avant trade]]+Table_BDD[[#This Row],[Profit]]+Table_BDD[[#This Row],[Echange]]</f>
        <v>935.55</v>
      </c>
      <c r="Q44" s="52">
        <f>INT(Table_BDD[[#This Row],[Horodatage cloture]])</f>
        <v>43866</v>
      </c>
      <c r="R44" s="34">
        <f>WEEKNUM(Table_BDD[[#This Row],[Horodatage cloture]],2)</f>
        <v>6</v>
      </c>
      <c r="S44" s="61">
        <f>WEEKDAY(Table_BDD[[#This Row],[Horodatage cloture]])</f>
        <v>4</v>
      </c>
      <c r="T44" s="63">
        <f>HOUR(Table_BDD[[#This Row],[Horodatage cloture]])</f>
        <v>16</v>
      </c>
      <c r="U44" s="68">
        <f>IF(Table_BDD[[#This Row],[Position]]="","",IF(Table_BDD[[#This Row],[Valeur début de journée unique]]&lt;&gt;0,1,0))</f>
        <v>0</v>
      </c>
      <c r="V44" s="68" t="str">
        <f>IF(Table_BDD[[#This Row],[Nb de séance de trading]]=1,COUNTIF(Table_BDD[Date],Table_BDD[[#This Row],[Date]]),"")</f>
        <v/>
      </c>
      <c r="W44" s="33">
        <f>IF(Table_BDD[[#This Row],[Position]]="","",IF(Table_BDD[[#This Row],[Type]]="buy",ROUND(Table_BDD[[#This Row],[Lvl Entrée]]-Table_BDD[[#This Row],[S / L]],1),ROUND(Table_BDD[[#This Row],[S / L]]-Table_BDD[[#This Row],[Lvl Entrée]],1)))</f>
        <v>11.1</v>
      </c>
      <c r="X44" s="33">
        <f>IF(Table_BDD[[#This Row],[Position]]="","",IF(Table_BDD[[#This Row],[T / P]]=0,200,IF(Table_BDD[[#This Row],[Type]]="buy",ROUND(Table_BDD[[#This Row],[T / P]]-Table_BDD[[#This Row],[Lvl Entrée]],1),ROUND(Table_BDD[[#This Row],[Lvl Entrée]]-Table_BDD[[#This Row],[T / P]],1))))</f>
        <v>260</v>
      </c>
      <c r="Y44" s="34">
        <f>IF(Table_BDD[[#This Row],[Position]]="","",IF(Table_BDD[[#This Row],[Ecart du SL]]&gt;0,ROUND(ABS(Table_BDD[[#This Row],[Ecart du TP]])/ABS(Table_BDD[[#This Row],[Ecart du SL]]),1),ROUND(ABS(Table_BDD[[#This Row],[Ecart du TP]])/10,1)))</f>
        <v>23.4</v>
      </c>
      <c r="Z44" s="34">
        <f>IF(Table_BDD[[#This Row],[Position]]="","",IF(Table_BDD[[#This Row],[Ecart du SL]]&lt;0,IF(AND(Table_BDD[[#This Row],[Profit]]&gt;0,Table_BDD[[#This Row],[Type]]="sell"),ROUND((Table_BDD[[#This Row],[Lvl Entrée]]-Table_BDD[[#This Row],[Lvl Sortie]])/(10),1),IF(AND(Table_BDD[[#This Row],[Profit]]&gt;0,Table_BDD[[#This Row],[Type]]="buy"),ROUND((Table_BDD[[#This Row],[Lvl Sortie]]-Table_BDD[[#This Row],[Lvl Entrée]])/(10),1),)),IF(AND(Table_BDD[[#This Row],[Profit]]&gt;0,Table_BDD[[#This Row],[Type]]="sell"),ROUND((Table_BDD[[#This Row],[Lvl Entrée]]-Table_BDD[[#This Row],[Lvl Sortie]])/(Table_BDD[[#This Row],[S / L]]-Table_BDD[[#This Row],[Lvl Entrée]]),1),IF(AND(Table_BDD[[#This Row],[Profit]]&gt;0,Table_BDD[[#This Row],[Type]]="buy"),ROUND((Table_BDD[[#This Row],[Lvl Sortie]]-Table_BDD[[#This Row],[Lvl Entrée]])/(Table_BDD[[#This Row],[Lvl Entrée]]-Table_BDD[[#This Row],[S / L]]),1),ROUND(Table_BDD[[#This Row],[Points]]/10,1)))))</f>
        <v>-1.1000000000000001</v>
      </c>
      <c r="AA44" s="32">
        <f>IF(Table_BDD[[#This Row],[Position]]="",AA43,Table_BDD[[#This Row],[Equité après trade]]-Table_BDD[[#This Row],[Profit]]-Table_BDD[[#This Row],[Echange]])</f>
        <v>940.62</v>
      </c>
      <c r="AB44" s="149">
        <f>$B$1+SUM($L$4:M44)</f>
        <v>935.55</v>
      </c>
      <c r="AC44" s="150">
        <f>IF(Table_BDD[[#This Row],[Position]]="","",_xlfn.MINIFS(Table_BDD[Horodatage ouverture],Table_BDD[Date],Table_BDD[Date]))</f>
        <v>43866.667986111112</v>
      </c>
      <c r="AD44" s="149">
        <f>VLOOKUP(_xlfn.MINIFS(Table_BDD[Horodatage ouverture],Table_BDD[Date],Table_BDD[Date]),Table_BDD[[Horodatage ouverture]:[Heure derniere valeur]],AA$2)</f>
        <v>1011.88</v>
      </c>
      <c r="AE44" s="149">
        <f>IF(VLOOKUP(_xlfn.MINIFS(Table_BDD[Horodatage ouverture],Table_BDD[Date],Table_BDD[Date]),Table_BDD[[Horodatage ouverture]:[Heure derniere valeur]],AA$2)=Table_BDD[[#This Row],[Equité avant trade]],VLOOKUP(_xlfn.MINIFS(Table_BDD[Horodatage ouverture],Table_BDD[Date],Table_BDD[Date]),Table_BDD[[Horodatage ouverture]:[Heure derniere valeur]],AA$2),0)</f>
        <v>0</v>
      </c>
      <c r="AF44" s="150">
        <f>IF(Table_BDD[[#This Row],[Position]]="","",_xlfn.MAXIFS(Table_BDD[Horodatage ouverture],Table_BDD[Date],Table_BDD[Date]))</f>
        <v>43866.695891203701</v>
      </c>
      <c r="AG44" s="32">
        <f>VLOOKUP(_xlfn.MAXIFS(Table_BDD[Horodatage cloture],Table_BDD[Date],Table_BDD[Date]),Table_BDD[[Horodatage ouverture]:[Heure derniere valeur]],AB$2)</f>
        <v>1017.63</v>
      </c>
      <c r="AH44" s="32">
        <f>IF(VLOOKUP(_xlfn.MAXIFS(Table_BDD[Horodatage cloture],Table_BDD[Date],Table_BDD[Date]),Table_BDD[[Horodatage ouverture]:[Heure derniere valeur]],AB$2)=Table_BDD[[#This Row],[Equité après trade]],VLOOKUP(_xlfn.MAXIFS(Table_BDD[Horodatage cloture],Table_BDD[Date],Table_BDD[Date]),Table_BDD[[Horodatage ouverture]:[Heure derniere valeur]],AB$2),0)</f>
        <v>0</v>
      </c>
      <c r="AI44" s="32" t="e">
        <f>IF(Table_BDD[[#This Row],[Valeur fin de journée unique]]=0,#N/A,Table_BDD[[#This Row],[Valeur fin de journée unique]])</f>
        <v>#N/A</v>
      </c>
      <c r="AJ44" s="35">
        <f>IF(Table_BDD[[#This Row],[Position]]="","",(Table_BDD[[#This Row],[Equité après trade]]-Table_BDD[[#This Row],[Equité avant trade]])/Table_BDD[[#This Row],[Equité avant trade]])</f>
        <v>-5.3900618740831052E-3</v>
      </c>
      <c r="AK44" s="35" t="str">
        <f>IFERROR(((INDEX(Table_BDD[[Trade n°]:[Valeur fin de journée unique]],Table_BDD[[#This Row],[Nb de trade du jour]]+Table_BDD[[#This Row],[Trade n°]]-1,21))-Table_BDD[[#This Row],[Valeur début de journée unique]])/Table_BDD[[#This Row],[Valeur début de journée unique]],"")</f>
        <v/>
      </c>
      <c r="AL44" s="32">
        <f>IF(Table_BDD[[#This Row],[Position]]="","",MAX(Table_BDD[[#This Row],[Cumul équité]],AL43))</f>
        <v>1019.44</v>
      </c>
      <c r="AM44" s="32">
        <f>IF(Table_BDD[[#This Row],[Position]]="","",MIN(Table_BDD[[#This Row],[Cumul équité]],AL43))</f>
        <v>935.55</v>
      </c>
      <c r="AN44" s="97">
        <f>IF(Table_BDD[[#This Row],[Sommet Drawdown]]&gt;AL43,"",Table_BDD[[#This Row],[Creux Drawdown]]/Table_BDD[[#This Row],[Sommet Drawdown]]-1)</f>
        <v>-8.2290277014831714E-2</v>
      </c>
      <c r="AO44" s="36">
        <f>IF(Table_BDD[[#This Row],[Position]]="","",IF(Table_BDD[[#This Row],[Type]]="buy",ROUND(Table_BDD[[#This Row],[Lvl Sortie]]-Table_BDD[[#This Row],[Lvl Entrée]],1),ROUND(Table_BDD[[#This Row],[Lvl Entrée]]-Table_BDD[[#This Row],[Lvl Sortie]],1)))</f>
        <v>-11.2</v>
      </c>
      <c r="AP44" s="36" t="str">
        <f>IF(Table_BDD[[#This Row],[Points]]&gt;0,Table_BDD[[#This Row],[Points]],"")</f>
        <v/>
      </c>
      <c r="AQ44" s="36">
        <f>IF(Table_BDD[[#This Row],[Points]]&lt;0,Table_BDD[[#This Row],[Points]],"")</f>
        <v>-11.2</v>
      </c>
      <c r="AR44" s="36">
        <f>SUM($AO$4:AO44)</f>
        <v>-141.79999999999998</v>
      </c>
      <c r="AS44" s="68">
        <f>IF(Table_BDD[[#This Row],[Position]]="","",IF(Table_BDD[[#This Row],[Conformité]]="Conforme",1,0))</f>
        <v>0</v>
      </c>
      <c r="AT44" s="68">
        <f>IF(Table_BDD[[#This Row],[Position]]="","",IF(Table_BDD[[#This Row],[Conformité]]="Non conforme",1,0))</f>
        <v>1</v>
      </c>
      <c r="AU44" s="37" t="s">
        <v>17</v>
      </c>
      <c r="AV44" s="37"/>
      <c r="AW44" s="37"/>
      <c r="AX44" s="37">
        <v>0</v>
      </c>
      <c r="AY44" s="37">
        <v>0</v>
      </c>
      <c r="AZ44" s="37">
        <v>0</v>
      </c>
      <c r="BA44" s="37" t="str">
        <f>IF(Table_BDD[[#This Row],[Position]]="","Sans objet",IF(AND(Table_BDD[[#This Row],[Type]]="sell",Table_BDD[[#This Row],[S / L]]&lt;Table_BDD[[#This Row],[Lvl Entrée]],Table_BDD[[#This Row],[Lvl Sortie]]&lt;=Table_BDD[[#This Row],[S / L]]+2,Table_BDD[[#This Row],[Lvl Sortie]]&lt;Table_BDD[[#This Row],[Lvl Entrée]]-19),"Oui",IF(AND(Table_BDD[[#This Row],[Type]]="buy",Table_BDD[[#This Row],[S / L]]&gt;Table_BDD[[#This Row],[Lvl Entrée]],Table_BDD[[#This Row],[Lvl Sortie]]&gt;=Table_BDD[[#This Row],[S / L]]-2,Table_BDD[[#This Row],[S / L]]&gt;Table_BDD[[#This Row],[Lvl Entrée]]+19),"Oui","Non")))</f>
        <v>Non</v>
      </c>
      <c r="BB44" s="37" t="str">
        <f>IF(Table_BDD[[#This Row],[Position]]="","Sans objet",IF(AND(Table_BDD[[#This Row],[Type]]="sell",Table_BDD[[#This Row],[S / L]]&lt;Table_BDD[[#This Row],[Lvl Entrée]],Table_BDD[[#This Row],[Points]]&gt;=-1),"Oui",IF(AND(Table_BDD[[#This Row],[Type]]="sell",Table_BDD[[#This Row],[S / L]]&gt;Table_BDD[[#This Row],[Lvl Entrée]]),"Non",IF(AND(Table_BDD[[#This Row],[Type]]="buy",Table_BDD[[#This Row],[S / L]]&lt;Table_BDD[[#This Row],[Lvl Entrée]]),"Non",IF(AND(Table_BDD[[#This Row],[Type]]="buy",Table_BDD[[#This Row],[S / L]]&gt;Table_BDD[[#This Row],[Lvl Entrée]],Table_BDD[[#This Row],[Points]]&gt;=-1),"Oui")))))</f>
        <v>Non</v>
      </c>
      <c r="BC44" s="37" t="str">
        <f>IF(Table_BDD[[#This Row],[Position]]="","Sans objet",IF(Table_BDD[[#This Row],[T / P]]="","Non",IF(AND(Table_BDD[[#This Row],[Type]]="sell",Table_BDD[[#This Row],[Lvl Sortie]]&lt;=Table_BDD[[#This Row],[T / P]]),"Oui",IF(AND(Table_BDD[[#This Row],[Type]]="buy",Table_BDD[[#This Row],[Lvl Sortie]]&gt;=Table_BDD[[#This Row],[T / P]]),"Oui","Non"))))</f>
        <v>Non</v>
      </c>
      <c r="BD44" s="91">
        <f t="array" ref="BD44">IFERROR(INDEX(downloadFile[#All],MATCH(Table_BDD[[#This Row],[Date]],downloadFile[[#All],[Column1]],0),2),BD43)</f>
        <v>1.1023000000000001</v>
      </c>
      <c r="BE44" s="89">
        <f>IF(Table_BDD[[#This Row],[Position]]="","",IF(Table_BDD[[#This Row],[Symbole]]="UsaInd",(Table_BDD[[#This Row],[Volume]]*Table_BDD[[#This Row],[Lvl Entrée]])/(Table_BDD[[#This Row],[Equité avant trade]]*Table_BDD[[#This Row],[EUR/USD]]),IF(Table_BDD[[#This Row],[Symbole]]="Ger30",(Table_BDD[[#This Row],[Volume]]*Table_BDD[[#This Row],[Lvl Entrée]])/Table_BDD[[#This Row],[Equité avant trade]],)))</f>
        <v>13.990619658672246</v>
      </c>
      <c r="BF44" s="38">
        <f>IF(Table_BDD[[#This Row],[Position]]="","",IF(Table_BDD[[#This Row],[Conformité]]="Non conforme",0,(MROUND(3*((Table_BDD[[#This Row],[Conviction]]+Table_BDD[[#This Row],[Timing]]+Table_BDD[[#This Row],[Sortie]])+1)-2,1))))</f>
        <v>0</v>
      </c>
      <c r="BG44" s="38" t="str">
        <f>IF(Table_BDD[[#This Row],[Position]]="","",IF(Table_BDD[[#This Row],[Points]]&lt;-5,"--",IF(AND(Table_BDD[[#This Row],[Points]]&gt;=-5,Table_BDD[[#This Row],[Points]]&lt;-1.5),"-",IF(AND(Table_BDD[[#This Row],[Points]]&gt;=-1.5,Table_BDD[[#This Row],[Points]]&lt;1.5),"0",IF(AND(Table_BDD[[#This Row],[Points]]&gt;=1.5,Table_BDD[[#This Row],[Points]]&lt;=70),"+",IF(Table_BDD[[#This Row],[Points]]&gt;70,"++"))))))</f>
        <v>--</v>
      </c>
      <c r="BH44" s="37" t="str">
        <f>IF(Table_BDD[[#This Row],[Position]]="","",IF(Table_BDD[[#This Row],[Points]]&gt;0,"Gagnant",IF(Table_BDD[[#This Row],[Points]]=0,"Flat","Perdant")))</f>
        <v>Perdant</v>
      </c>
      <c r="BI44" s="40">
        <f>IF(Table_BDD[[#This Row],[Position]]="","",IF(Table_BDD[[#This Row],[Résultat]]="Gagnant",1,0))</f>
        <v>0</v>
      </c>
      <c r="BJ44" s="40">
        <f>IF(Table_BDD[[#This Row],[Position]]="","",IF(Table_BDD[[#This Row],[Résultat]]="Perdant",1,0))</f>
        <v>1</v>
      </c>
      <c r="BK44" s="40"/>
      <c r="BL44" s="145">
        <f>IF(Table_BDD[[#This Row],[T / P]]="","",Table_BDD[[#This Row],[T / P]])</f>
        <v>29272.22</v>
      </c>
      <c r="BM44" s="147"/>
      <c r="BN44" s="147"/>
      <c r="BO44" s="147"/>
      <c r="BP44" s="147"/>
      <c r="BQ44" s="127"/>
    </row>
    <row r="45" spans="1:69" x14ac:dyDescent="0.2">
      <c r="A45" s="93">
        <v>43866.695023148146</v>
      </c>
      <c r="B45" s="94">
        <v>259511221</v>
      </c>
      <c r="C45" s="37" t="s">
        <v>8</v>
      </c>
      <c r="D45" s="37" t="s">
        <v>10</v>
      </c>
      <c r="E45" s="37">
        <v>0.5</v>
      </c>
      <c r="F45" s="95">
        <v>29000.13</v>
      </c>
      <c r="G45" s="95">
        <v>29009.35</v>
      </c>
      <c r="H45" s="95"/>
      <c r="I45" s="28">
        <v>43866.695335648146</v>
      </c>
      <c r="J45" s="95">
        <v>29009.39</v>
      </c>
      <c r="K45" s="95">
        <v>0</v>
      </c>
      <c r="L45" s="95">
        <v>0</v>
      </c>
      <c r="M45" s="32">
        <v>-4.21</v>
      </c>
      <c r="N45" s="148">
        <f>IF(Table_BDD[[#This Row],[Position]]="","",ROW()-3)</f>
        <v>42</v>
      </c>
      <c r="O45" s="32">
        <f>SUM($L$4:M45)</f>
        <v>-68.66</v>
      </c>
      <c r="P45" s="32">
        <f>Table_BDD[[#This Row],[Equité avant trade]]+Table_BDD[[#This Row],[Profit]]+Table_BDD[[#This Row],[Echange]]</f>
        <v>931.34</v>
      </c>
      <c r="Q45" s="52">
        <f>INT(Table_BDD[[#This Row],[Horodatage cloture]])</f>
        <v>43866</v>
      </c>
      <c r="R45" s="34">
        <f>WEEKNUM(Table_BDD[[#This Row],[Horodatage cloture]],2)</f>
        <v>6</v>
      </c>
      <c r="S45" s="61">
        <f>WEEKDAY(Table_BDD[[#This Row],[Horodatage cloture]])</f>
        <v>4</v>
      </c>
      <c r="T45" s="63">
        <f>HOUR(Table_BDD[[#This Row],[Horodatage cloture]])</f>
        <v>16</v>
      </c>
      <c r="U45" s="68">
        <f>IF(Table_BDD[[#This Row],[Position]]="","",IF(Table_BDD[[#This Row],[Valeur début de journée unique]]&lt;&gt;0,1,0))</f>
        <v>0</v>
      </c>
      <c r="V45" s="68" t="str">
        <f>IF(Table_BDD[[#This Row],[Nb de séance de trading]]=1,COUNTIF(Table_BDD[Date],Table_BDD[[#This Row],[Date]]),"")</f>
        <v/>
      </c>
      <c r="W45" s="33">
        <f>IF(Table_BDD[[#This Row],[Position]]="","",IF(Table_BDD[[#This Row],[Type]]="buy",ROUND(Table_BDD[[#This Row],[Lvl Entrée]]-Table_BDD[[#This Row],[S / L]],1),ROUND(Table_BDD[[#This Row],[S / L]]-Table_BDD[[#This Row],[Lvl Entrée]],1)))</f>
        <v>9.1999999999999993</v>
      </c>
      <c r="X45" s="33">
        <f>IF(Table_BDD[[#This Row],[Position]]="","",IF(Table_BDD[[#This Row],[T / P]]=0,200,IF(Table_BDD[[#This Row],[Type]]="buy",ROUND(Table_BDD[[#This Row],[T / P]]-Table_BDD[[#This Row],[Lvl Entrée]],1),ROUND(Table_BDD[[#This Row],[Lvl Entrée]]-Table_BDD[[#This Row],[T / P]],1))))</f>
        <v>200</v>
      </c>
      <c r="Y45" s="34">
        <f>IF(Table_BDD[[#This Row],[Position]]="","",IF(Table_BDD[[#This Row],[Ecart du SL]]&gt;0,ROUND(ABS(Table_BDD[[#This Row],[Ecart du TP]])/ABS(Table_BDD[[#This Row],[Ecart du SL]]),1),ROUND(ABS(Table_BDD[[#This Row],[Ecart du TP]])/10,1)))</f>
        <v>21.7</v>
      </c>
      <c r="Z45" s="34">
        <f>IF(Table_BDD[[#This Row],[Position]]="","",IF(Table_BDD[[#This Row],[Ecart du SL]]&lt;0,IF(AND(Table_BDD[[#This Row],[Profit]]&gt;0,Table_BDD[[#This Row],[Type]]="sell"),ROUND((Table_BDD[[#This Row],[Lvl Entrée]]-Table_BDD[[#This Row],[Lvl Sortie]])/(10),1),IF(AND(Table_BDD[[#This Row],[Profit]]&gt;0,Table_BDD[[#This Row],[Type]]="buy"),ROUND((Table_BDD[[#This Row],[Lvl Sortie]]-Table_BDD[[#This Row],[Lvl Entrée]])/(10),1),)),IF(AND(Table_BDD[[#This Row],[Profit]]&gt;0,Table_BDD[[#This Row],[Type]]="sell"),ROUND((Table_BDD[[#This Row],[Lvl Entrée]]-Table_BDD[[#This Row],[Lvl Sortie]])/(Table_BDD[[#This Row],[S / L]]-Table_BDD[[#This Row],[Lvl Entrée]]),1),IF(AND(Table_BDD[[#This Row],[Profit]]&gt;0,Table_BDD[[#This Row],[Type]]="buy"),ROUND((Table_BDD[[#This Row],[Lvl Sortie]]-Table_BDD[[#This Row],[Lvl Entrée]])/(Table_BDD[[#This Row],[Lvl Entrée]]-Table_BDD[[#This Row],[S / L]]),1),ROUND(Table_BDD[[#This Row],[Points]]/10,1)))))</f>
        <v>-0.9</v>
      </c>
      <c r="AA45" s="32">
        <f>IF(Table_BDD[[#This Row],[Position]]="",AA44,Table_BDD[[#This Row],[Equité après trade]]-Table_BDD[[#This Row],[Profit]]-Table_BDD[[#This Row],[Echange]])</f>
        <v>935.55000000000007</v>
      </c>
      <c r="AB45" s="149">
        <f>$B$1+SUM($L$4:M45)</f>
        <v>931.34</v>
      </c>
      <c r="AC45" s="150">
        <f>IF(Table_BDD[[#This Row],[Position]]="","",_xlfn.MINIFS(Table_BDD[Horodatage ouverture],Table_BDD[Date],Table_BDD[Date]))</f>
        <v>43866.667986111112</v>
      </c>
      <c r="AD45" s="149">
        <f>VLOOKUP(_xlfn.MINIFS(Table_BDD[Horodatage ouverture],Table_BDD[Date],Table_BDD[Date]),Table_BDD[[Horodatage ouverture]:[Heure derniere valeur]],AA$2)</f>
        <v>1011.88</v>
      </c>
      <c r="AE45" s="149">
        <f>IF(VLOOKUP(_xlfn.MINIFS(Table_BDD[Horodatage ouverture],Table_BDD[Date],Table_BDD[Date]),Table_BDD[[Horodatage ouverture]:[Heure derniere valeur]],AA$2)=Table_BDD[[#This Row],[Equité avant trade]],VLOOKUP(_xlfn.MINIFS(Table_BDD[Horodatage ouverture],Table_BDD[Date],Table_BDD[Date]),Table_BDD[[Horodatage ouverture]:[Heure derniere valeur]],AA$2),0)</f>
        <v>0</v>
      </c>
      <c r="AF45" s="150">
        <f>IF(Table_BDD[[#This Row],[Position]]="","",_xlfn.MAXIFS(Table_BDD[Horodatage ouverture],Table_BDD[Date],Table_BDD[Date]))</f>
        <v>43866.695891203701</v>
      </c>
      <c r="AG45" s="32">
        <f>VLOOKUP(_xlfn.MAXIFS(Table_BDD[Horodatage cloture],Table_BDD[Date],Table_BDD[Date]),Table_BDD[[Horodatage ouverture]:[Heure derniere valeur]],AB$2)</f>
        <v>1017.63</v>
      </c>
      <c r="AH45" s="32">
        <f>IF(VLOOKUP(_xlfn.MAXIFS(Table_BDD[Horodatage cloture],Table_BDD[Date],Table_BDD[Date]),Table_BDD[[Horodatage ouverture]:[Heure derniere valeur]],AB$2)=Table_BDD[[#This Row],[Equité après trade]],VLOOKUP(_xlfn.MAXIFS(Table_BDD[Horodatage cloture],Table_BDD[Date],Table_BDD[Date]),Table_BDD[[Horodatage ouverture]:[Heure derniere valeur]],AB$2),0)</f>
        <v>0</v>
      </c>
      <c r="AI45" s="32" t="e">
        <f>IF(Table_BDD[[#This Row],[Valeur fin de journée unique]]=0,#N/A,Table_BDD[[#This Row],[Valeur fin de journée unique]])</f>
        <v>#N/A</v>
      </c>
      <c r="AJ45" s="35">
        <f>IF(Table_BDD[[#This Row],[Position]]="","",(Table_BDD[[#This Row],[Equité après trade]]-Table_BDD[[#This Row],[Equité avant trade]])/Table_BDD[[#This Row],[Equité avant trade]])</f>
        <v>-4.5000267222489827E-3</v>
      </c>
      <c r="AK45" s="35" t="str">
        <f>IFERROR(((INDEX(Table_BDD[[Trade n°]:[Valeur fin de journée unique]],Table_BDD[[#This Row],[Nb de trade du jour]]+Table_BDD[[#This Row],[Trade n°]]-1,21))-Table_BDD[[#This Row],[Valeur début de journée unique]])/Table_BDD[[#This Row],[Valeur début de journée unique]],"")</f>
        <v/>
      </c>
      <c r="AL45" s="32">
        <f>IF(Table_BDD[[#This Row],[Position]]="","",MAX(Table_BDD[[#This Row],[Cumul équité]],AL44))</f>
        <v>1019.44</v>
      </c>
      <c r="AM45" s="32">
        <f>IF(Table_BDD[[#This Row],[Position]]="","",MIN(Table_BDD[[#This Row],[Cumul équité]],AL44))</f>
        <v>931.34</v>
      </c>
      <c r="AN45" s="97">
        <f>IF(Table_BDD[[#This Row],[Sommet Drawdown]]&gt;AL44,"",Table_BDD[[#This Row],[Creux Drawdown]]/Table_BDD[[#This Row],[Sommet Drawdown]]-1)</f>
        <v>-8.6419995291532659E-2</v>
      </c>
      <c r="AO45" s="36">
        <f>IF(Table_BDD[[#This Row],[Position]]="","",IF(Table_BDD[[#This Row],[Type]]="buy",ROUND(Table_BDD[[#This Row],[Lvl Sortie]]-Table_BDD[[#This Row],[Lvl Entrée]],1),ROUND(Table_BDD[[#This Row],[Lvl Entrée]]-Table_BDD[[#This Row],[Lvl Sortie]],1)))</f>
        <v>-9.3000000000000007</v>
      </c>
      <c r="AP45" s="36" t="str">
        <f>IF(Table_BDD[[#This Row],[Points]]&gt;0,Table_BDD[[#This Row],[Points]],"")</f>
        <v/>
      </c>
      <c r="AQ45" s="36">
        <f>IF(Table_BDD[[#This Row],[Points]]&lt;0,Table_BDD[[#This Row],[Points]],"")</f>
        <v>-9.3000000000000007</v>
      </c>
      <c r="AR45" s="36">
        <f>SUM($AO$4:AO45)</f>
        <v>-151.1</v>
      </c>
      <c r="AS45" s="68">
        <f>IF(Table_BDD[[#This Row],[Position]]="","",IF(Table_BDD[[#This Row],[Conformité]]="Conforme",1,0))</f>
        <v>0</v>
      </c>
      <c r="AT45" s="68">
        <f>IF(Table_BDD[[#This Row],[Position]]="","",IF(Table_BDD[[#This Row],[Conformité]]="Non conforme",1,0))</f>
        <v>1</v>
      </c>
      <c r="AU45" s="37" t="s">
        <v>17</v>
      </c>
      <c r="AV45" s="37"/>
      <c r="AW45" s="37"/>
      <c r="AX45" s="37">
        <v>0</v>
      </c>
      <c r="AY45" s="37">
        <v>0</v>
      </c>
      <c r="AZ45" s="37">
        <v>0</v>
      </c>
      <c r="BA45" s="37" t="str">
        <f>IF(Table_BDD[[#This Row],[Position]]="","Sans objet",IF(AND(Table_BDD[[#This Row],[Type]]="sell",Table_BDD[[#This Row],[S / L]]&lt;Table_BDD[[#This Row],[Lvl Entrée]],Table_BDD[[#This Row],[Lvl Sortie]]&lt;=Table_BDD[[#This Row],[S / L]]+2,Table_BDD[[#This Row],[Lvl Sortie]]&lt;Table_BDD[[#This Row],[Lvl Entrée]]-19),"Oui",IF(AND(Table_BDD[[#This Row],[Type]]="buy",Table_BDD[[#This Row],[S / L]]&gt;Table_BDD[[#This Row],[Lvl Entrée]],Table_BDD[[#This Row],[Lvl Sortie]]&gt;=Table_BDD[[#This Row],[S / L]]-2,Table_BDD[[#This Row],[S / L]]&gt;Table_BDD[[#This Row],[Lvl Entrée]]+19),"Oui","Non")))</f>
        <v>Non</v>
      </c>
      <c r="BB45" s="37" t="str">
        <f>IF(Table_BDD[[#This Row],[Position]]="","Sans objet",IF(AND(Table_BDD[[#This Row],[Type]]="sell",Table_BDD[[#This Row],[S / L]]&lt;Table_BDD[[#This Row],[Lvl Entrée]],Table_BDD[[#This Row],[Points]]&gt;=-1),"Oui",IF(AND(Table_BDD[[#This Row],[Type]]="sell",Table_BDD[[#This Row],[S / L]]&gt;Table_BDD[[#This Row],[Lvl Entrée]]),"Non",IF(AND(Table_BDD[[#This Row],[Type]]="buy",Table_BDD[[#This Row],[S / L]]&lt;Table_BDD[[#This Row],[Lvl Entrée]]),"Non",IF(AND(Table_BDD[[#This Row],[Type]]="buy",Table_BDD[[#This Row],[S / L]]&gt;Table_BDD[[#This Row],[Lvl Entrée]],Table_BDD[[#This Row],[Points]]&gt;=-1),"Oui")))))</f>
        <v>Non</v>
      </c>
      <c r="BC45" s="37" t="str">
        <f>IF(Table_BDD[[#This Row],[Position]]="","Sans objet",IF(Table_BDD[[#This Row],[T / P]]="","Non",IF(AND(Table_BDD[[#This Row],[Type]]="sell",Table_BDD[[#This Row],[Lvl Sortie]]&lt;=Table_BDD[[#This Row],[T / P]]),"Oui",IF(AND(Table_BDD[[#This Row],[Type]]="buy",Table_BDD[[#This Row],[Lvl Sortie]]&gt;=Table_BDD[[#This Row],[T / P]]),"Oui","Non"))))</f>
        <v>Non</v>
      </c>
      <c r="BD45" s="91">
        <f t="array" ref="BD45">IFERROR(INDEX(downloadFile[#All],MATCH(Table_BDD[[#This Row],[Date]],downloadFile[[#All],[Column1]],0),2),BD44)</f>
        <v>1.1023000000000001</v>
      </c>
      <c r="BE45" s="89">
        <f>IF(Table_BDD[[#This Row],[Position]]="","",IF(Table_BDD[[#This Row],[Symbole]]="UsaInd",(Table_BDD[[#This Row],[Volume]]*Table_BDD[[#This Row],[Lvl Entrée]])/(Table_BDD[[#This Row],[Equité avant trade]]*Table_BDD[[#This Row],[EUR/USD]]),IF(Table_BDD[[#This Row],[Symbole]]="Ger30",(Table_BDD[[#This Row],[Volume]]*Table_BDD[[#This Row],[Lvl Entrée]])/Table_BDD[[#This Row],[Equité avant trade]],)))</f>
        <v>14.060576853524932</v>
      </c>
      <c r="BF45" s="38">
        <f>IF(Table_BDD[[#This Row],[Position]]="","",IF(Table_BDD[[#This Row],[Conformité]]="Non conforme",0,(MROUND(3*((Table_BDD[[#This Row],[Conviction]]+Table_BDD[[#This Row],[Timing]]+Table_BDD[[#This Row],[Sortie]])+1)-2,1))))</f>
        <v>0</v>
      </c>
      <c r="BG45" s="38" t="str">
        <f>IF(Table_BDD[[#This Row],[Position]]="","",IF(Table_BDD[[#This Row],[Points]]&lt;-5,"--",IF(AND(Table_BDD[[#This Row],[Points]]&gt;=-5,Table_BDD[[#This Row],[Points]]&lt;-1.5),"-",IF(AND(Table_BDD[[#This Row],[Points]]&gt;=-1.5,Table_BDD[[#This Row],[Points]]&lt;1.5),"0",IF(AND(Table_BDD[[#This Row],[Points]]&gt;=1.5,Table_BDD[[#This Row],[Points]]&lt;=70),"+",IF(Table_BDD[[#This Row],[Points]]&gt;70,"++"))))))</f>
        <v>--</v>
      </c>
      <c r="BH45" s="37" t="str">
        <f>IF(Table_BDD[[#This Row],[Position]]="","",IF(Table_BDD[[#This Row],[Points]]&gt;0,"Gagnant",IF(Table_BDD[[#This Row],[Points]]=0,"Flat","Perdant")))</f>
        <v>Perdant</v>
      </c>
      <c r="BI45" s="40">
        <f>IF(Table_BDD[[#This Row],[Position]]="","",IF(Table_BDD[[#This Row],[Résultat]]="Gagnant",1,0))</f>
        <v>0</v>
      </c>
      <c r="BJ45" s="40">
        <f>IF(Table_BDD[[#This Row],[Position]]="","",IF(Table_BDD[[#This Row],[Résultat]]="Perdant",1,0))</f>
        <v>1</v>
      </c>
      <c r="BK45" s="40"/>
      <c r="BL45" s="145" t="str">
        <f>IF(Table_BDD[[#This Row],[T / P]]="","",Table_BDD[[#This Row],[T / P]])</f>
        <v/>
      </c>
      <c r="BM45" s="147"/>
      <c r="BN45" s="147"/>
      <c r="BO45" s="147"/>
      <c r="BP45" s="147"/>
      <c r="BQ45" s="127"/>
    </row>
    <row r="46" spans="1:69" x14ac:dyDescent="0.2">
      <c r="A46" s="93">
        <v>43866.695370370369</v>
      </c>
      <c r="B46" s="94">
        <v>259511254</v>
      </c>
      <c r="C46" s="37" t="s">
        <v>8</v>
      </c>
      <c r="D46" s="37" t="s">
        <v>10</v>
      </c>
      <c r="E46" s="37">
        <v>0.5</v>
      </c>
      <c r="F46" s="95">
        <v>29005.09</v>
      </c>
      <c r="G46" s="95">
        <v>29015.09</v>
      </c>
      <c r="H46" s="95"/>
      <c r="I46" s="28">
        <v>43866.695879629631</v>
      </c>
      <c r="J46" s="95">
        <v>29015.279999999999</v>
      </c>
      <c r="K46" s="95">
        <v>0</v>
      </c>
      <c r="L46" s="95">
        <v>0</v>
      </c>
      <c r="M46" s="32">
        <v>-4.63</v>
      </c>
      <c r="N46" s="148">
        <f>IF(Table_BDD[[#This Row],[Position]]="","",ROW()-3)</f>
        <v>43</v>
      </c>
      <c r="O46" s="32">
        <f>SUM($L$4:M46)</f>
        <v>-73.289999999999992</v>
      </c>
      <c r="P46" s="32">
        <f>Table_BDD[[#This Row],[Equité avant trade]]+Table_BDD[[#This Row],[Profit]]+Table_BDD[[#This Row],[Echange]]</f>
        <v>926.71</v>
      </c>
      <c r="Q46" s="52">
        <f>INT(Table_BDD[[#This Row],[Horodatage cloture]])</f>
        <v>43866</v>
      </c>
      <c r="R46" s="34">
        <f>WEEKNUM(Table_BDD[[#This Row],[Horodatage cloture]],2)</f>
        <v>6</v>
      </c>
      <c r="S46" s="61">
        <f>WEEKDAY(Table_BDD[[#This Row],[Horodatage cloture]])</f>
        <v>4</v>
      </c>
      <c r="T46" s="63">
        <f>HOUR(Table_BDD[[#This Row],[Horodatage cloture]])</f>
        <v>16</v>
      </c>
      <c r="U46" s="68">
        <f>IF(Table_BDD[[#This Row],[Position]]="","",IF(Table_BDD[[#This Row],[Valeur début de journée unique]]&lt;&gt;0,1,0))</f>
        <v>0</v>
      </c>
      <c r="V46" s="68" t="str">
        <f>IF(Table_BDD[[#This Row],[Nb de séance de trading]]=1,COUNTIF(Table_BDD[Date],Table_BDD[[#This Row],[Date]]),"")</f>
        <v/>
      </c>
      <c r="W46" s="33">
        <f>IF(Table_BDD[[#This Row],[Position]]="","",IF(Table_BDD[[#This Row],[Type]]="buy",ROUND(Table_BDD[[#This Row],[Lvl Entrée]]-Table_BDD[[#This Row],[S / L]],1),ROUND(Table_BDD[[#This Row],[S / L]]-Table_BDD[[#This Row],[Lvl Entrée]],1)))</f>
        <v>10</v>
      </c>
      <c r="X46" s="33">
        <f>IF(Table_BDD[[#This Row],[Position]]="","",IF(Table_BDD[[#This Row],[T / P]]=0,200,IF(Table_BDD[[#This Row],[Type]]="buy",ROUND(Table_BDD[[#This Row],[T / P]]-Table_BDD[[#This Row],[Lvl Entrée]],1),ROUND(Table_BDD[[#This Row],[Lvl Entrée]]-Table_BDD[[#This Row],[T / P]],1))))</f>
        <v>200</v>
      </c>
      <c r="Y46" s="34">
        <f>IF(Table_BDD[[#This Row],[Position]]="","",IF(Table_BDD[[#This Row],[Ecart du SL]]&gt;0,ROUND(ABS(Table_BDD[[#This Row],[Ecart du TP]])/ABS(Table_BDD[[#This Row],[Ecart du SL]]),1),ROUND(ABS(Table_BDD[[#This Row],[Ecart du TP]])/10,1)))</f>
        <v>20</v>
      </c>
      <c r="Z46" s="34">
        <f>IF(Table_BDD[[#This Row],[Position]]="","",IF(Table_BDD[[#This Row],[Ecart du SL]]&lt;0,IF(AND(Table_BDD[[#This Row],[Profit]]&gt;0,Table_BDD[[#This Row],[Type]]="sell"),ROUND((Table_BDD[[#This Row],[Lvl Entrée]]-Table_BDD[[#This Row],[Lvl Sortie]])/(10),1),IF(AND(Table_BDD[[#This Row],[Profit]]&gt;0,Table_BDD[[#This Row],[Type]]="buy"),ROUND((Table_BDD[[#This Row],[Lvl Sortie]]-Table_BDD[[#This Row],[Lvl Entrée]])/(10),1),)),IF(AND(Table_BDD[[#This Row],[Profit]]&gt;0,Table_BDD[[#This Row],[Type]]="sell"),ROUND((Table_BDD[[#This Row],[Lvl Entrée]]-Table_BDD[[#This Row],[Lvl Sortie]])/(Table_BDD[[#This Row],[S / L]]-Table_BDD[[#This Row],[Lvl Entrée]]),1),IF(AND(Table_BDD[[#This Row],[Profit]]&gt;0,Table_BDD[[#This Row],[Type]]="buy"),ROUND((Table_BDD[[#This Row],[Lvl Sortie]]-Table_BDD[[#This Row],[Lvl Entrée]])/(Table_BDD[[#This Row],[Lvl Entrée]]-Table_BDD[[#This Row],[S / L]]),1),ROUND(Table_BDD[[#This Row],[Points]]/10,1)))))</f>
        <v>-1</v>
      </c>
      <c r="AA46" s="32">
        <f>IF(Table_BDD[[#This Row],[Position]]="",AA45,Table_BDD[[#This Row],[Equité après trade]]-Table_BDD[[#This Row],[Profit]]-Table_BDD[[#This Row],[Echange]])</f>
        <v>931.34</v>
      </c>
      <c r="AB46" s="149">
        <f>$B$1+SUM($L$4:M46)</f>
        <v>926.71</v>
      </c>
      <c r="AC46" s="150">
        <f>IF(Table_BDD[[#This Row],[Position]]="","",_xlfn.MINIFS(Table_BDD[Horodatage ouverture],Table_BDD[Date],Table_BDD[Date]))</f>
        <v>43866.667986111112</v>
      </c>
      <c r="AD46" s="149">
        <f>VLOOKUP(_xlfn.MINIFS(Table_BDD[Horodatage ouverture],Table_BDD[Date],Table_BDD[Date]),Table_BDD[[Horodatage ouverture]:[Heure derniere valeur]],AA$2)</f>
        <v>1011.88</v>
      </c>
      <c r="AE46" s="149">
        <f>IF(VLOOKUP(_xlfn.MINIFS(Table_BDD[Horodatage ouverture],Table_BDD[Date],Table_BDD[Date]),Table_BDD[[Horodatage ouverture]:[Heure derniere valeur]],AA$2)=Table_BDD[[#This Row],[Equité avant trade]],VLOOKUP(_xlfn.MINIFS(Table_BDD[Horodatage ouverture],Table_BDD[Date],Table_BDD[Date]),Table_BDD[[Horodatage ouverture]:[Heure derniere valeur]],AA$2),0)</f>
        <v>0</v>
      </c>
      <c r="AF46" s="150">
        <f>IF(Table_BDD[[#This Row],[Position]]="","",_xlfn.MAXIFS(Table_BDD[Horodatage ouverture],Table_BDD[Date],Table_BDD[Date]))</f>
        <v>43866.695891203701</v>
      </c>
      <c r="AG46" s="32">
        <f>VLOOKUP(_xlfn.MAXIFS(Table_BDD[Horodatage cloture],Table_BDD[Date],Table_BDD[Date]),Table_BDD[[Horodatage ouverture]:[Heure derniere valeur]],AB$2)</f>
        <v>1017.63</v>
      </c>
      <c r="AH46" s="32">
        <f>IF(VLOOKUP(_xlfn.MAXIFS(Table_BDD[Horodatage cloture],Table_BDD[Date],Table_BDD[Date]),Table_BDD[[Horodatage ouverture]:[Heure derniere valeur]],AB$2)=Table_BDD[[#This Row],[Equité après trade]],VLOOKUP(_xlfn.MAXIFS(Table_BDD[Horodatage cloture],Table_BDD[Date],Table_BDD[Date]),Table_BDD[[Horodatage ouverture]:[Heure derniere valeur]],AB$2),0)</f>
        <v>0</v>
      </c>
      <c r="AI46" s="32" t="e">
        <f>IF(Table_BDD[[#This Row],[Valeur fin de journée unique]]=0,#N/A,Table_BDD[[#This Row],[Valeur fin de journée unique]])</f>
        <v>#N/A</v>
      </c>
      <c r="AJ46" s="35">
        <f>IF(Table_BDD[[#This Row],[Position]]="","",(Table_BDD[[#This Row],[Equité après trade]]-Table_BDD[[#This Row],[Equité avant trade]])/Table_BDD[[#This Row],[Equité avant trade]])</f>
        <v>-4.971331629694843E-3</v>
      </c>
      <c r="AK46" s="35" t="str">
        <f>IFERROR(((INDEX(Table_BDD[[Trade n°]:[Valeur fin de journée unique]],Table_BDD[[#This Row],[Nb de trade du jour]]+Table_BDD[[#This Row],[Trade n°]]-1,21))-Table_BDD[[#This Row],[Valeur début de journée unique]])/Table_BDD[[#This Row],[Valeur début de journée unique]],"")</f>
        <v/>
      </c>
      <c r="AL46" s="32">
        <f>IF(Table_BDD[[#This Row],[Position]]="","",MAX(Table_BDD[[#This Row],[Cumul équité]],AL45))</f>
        <v>1019.44</v>
      </c>
      <c r="AM46" s="32">
        <f>IF(Table_BDD[[#This Row],[Position]]="","",MIN(Table_BDD[[#This Row],[Cumul équité]],AL45))</f>
        <v>926.71</v>
      </c>
      <c r="AN46" s="97">
        <f>IF(Table_BDD[[#This Row],[Sommet Drawdown]]&gt;AL45,"",Table_BDD[[#This Row],[Creux Drawdown]]/Table_BDD[[#This Row],[Sommet Drawdown]]-1)</f>
        <v>-9.096170446519658E-2</v>
      </c>
      <c r="AO46" s="36">
        <f>IF(Table_BDD[[#This Row],[Position]]="","",IF(Table_BDD[[#This Row],[Type]]="buy",ROUND(Table_BDD[[#This Row],[Lvl Sortie]]-Table_BDD[[#This Row],[Lvl Entrée]],1),ROUND(Table_BDD[[#This Row],[Lvl Entrée]]-Table_BDD[[#This Row],[Lvl Sortie]],1)))</f>
        <v>-10.199999999999999</v>
      </c>
      <c r="AP46" s="36" t="str">
        <f>IF(Table_BDD[[#This Row],[Points]]&gt;0,Table_BDD[[#This Row],[Points]],"")</f>
        <v/>
      </c>
      <c r="AQ46" s="36">
        <f>IF(Table_BDD[[#This Row],[Points]]&lt;0,Table_BDD[[#This Row],[Points]],"")</f>
        <v>-10.199999999999999</v>
      </c>
      <c r="AR46" s="36">
        <f>SUM($AO$4:AO46)</f>
        <v>-161.29999999999998</v>
      </c>
      <c r="AS46" s="68">
        <f>IF(Table_BDD[[#This Row],[Position]]="","",IF(Table_BDD[[#This Row],[Conformité]]="Conforme",1,0))</f>
        <v>0</v>
      </c>
      <c r="AT46" s="68">
        <f>IF(Table_BDD[[#This Row],[Position]]="","",IF(Table_BDD[[#This Row],[Conformité]]="Non conforme",1,0))</f>
        <v>1</v>
      </c>
      <c r="AU46" s="37" t="s">
        <v>17</v>
      </c>
      <c r="AV46" s="37"/>
      <c r="AW46" s="37"/>
      <c r="AX46" s="37">
        <v>0</v>
      </c>
      <c r="AY46" s="37">
        <v>0</v>
      </c>
      <c r="AZ46" s="37">
        <v>0</v>
      </c>
      <c r="BA46" s="37" t="str">
        <f>IF(Table_BDD[[#This Row],[Position]]="","Sans objet",IF(AND(Table_BDD[[#This Row],[Type]]="sell",Table_BDD[[#This Row],[S / L]]&lt;Table_BDD[[#This Row],[Lvl Entrée]],Table_BDD[[#This Row],[Lvl Sortie]]&lt;=Table_BDD[[#This Row],[S / L]]+2,Table_BDD[[#This Row],[Lvl Sortie]]&lt;Table_BDD[[#This Row],[Lvl Entrée]]-19),"Oui",IF(AND(Table_BDD[[#This Row],[Type]]="buy",Table_BDD[[#This Row],[S / L]]&gt;Table_BDD[[#This Row],[Lvl Entrée]],Table_BDD[[#This Row],[Lvl Sortie]]&gt;=Table_BDD[[#This Row],[S / L]]-2,Table_BDD[[#This Row],[S / L]]&gt;Table_BDD[[#This Row],[Lvl Entrée]]+19),"Oui","Non")))</f>
        <v>Non</v>
      </c>
      <c r="BB46" s="37" t="str">
        <f>IF(Table_BDD[[#This Row],[Position]]="","Sans objet",IF(AND(Table_BDD[[#This Row],[Type]]="sell",Table_BDD[[#This Row],[S / L]]&lt;Table_BDD[[#This Row],[Lvl Entrée]],Table_BDD[[#This Row],[Points]]&gt;=-1),"Oui",IF(AND(Table_BDD[[#This Row],[Type]]="sell",Table_BDD[[#This Row],[S / L]]&gt;Table_BDD[[#This Row],[Lvl Entrée]]),"Non",IF(AND(Table_BDD[[#This Row],[Type]]="buy",Table_BDD[[#This Row],[S / L]]&lt;Table_BDD[[#This Row],[Lvl Entrée]]),"Non",IF(AND(Table_BDD[[#This Row],[Type]]="buy",Table_BDD[[#This Row],[S / L]]&gt;Table_BDD[[#This Row],[Lvl Entrée]],Table_BDD[[#This Row],[Points]]&gt;=-1),"Oui")))))</f>
        <v>Non</v>
      </c>
      <c r="BC46" s="37" t="str">
        <f>IF(Table_BDD[[#This Row],[Position]]="","Sans objet",IF(Table_BDD[[#This Row],[T / P]]="","Non",IF(AND(Table_BDD[[#This Row],[Type]]="sell",Table_BDD[[#This Row],[Lvl Sortie]]&lt;=Table_BDD[[#This Row],[T / P]]),"Oui",IF(AND(Table_BDD[[#This Row],[Type]]="buy",Table_BDD[[#This Row],[Lvl Sortie]]&gt;=Table_BDD[[#This Row],[T / P]]),"Oui","Non"))))</f>
        <v>Non</v>
      </c>
      <c r="BD46" s="91">
        <f t="array" ref="BD46">IFERROR(INDEX(downloadFile[#All],MATCH(Table_BDD[[#This Row],[Date]],downloadFile[[#All],[Column1]],0),2),BD45)</f>
        <v>1.1023000000000001</v>
      </c>
      <c r="BE46" s="89">
        <f>IF(Table_BDD[[#This Row],[Position]]="","",IF(Table_BDD[[#This Row],[Symbole]]="UsaInd",(Table_BDD[[#This Row],[Volume]]*Table_BDD[[#This Row],[Lvl Entrée]])/(Table_BDD[[#This Row],[Equité avant trade]]*Table_BDD[[#This Row],[EUR/USD]]),IF(Table_BDD[[#This Row],[Symbole]]="Ger30",(Table_BDD[[#This Row],[Volume]]*Table_BDD[[#This Row],[Lvl Entrée]])/Table_BDD[[#This Row],[Equité avant trade]],)))</f>
        <v>14.126551545682878</v>
      </c>
      <c r="BF46" s="38">
        <f>IF(Table_BDD[[#This Row],[Position]]="","",IF(Table_BDD[[#This Row],[Conformité]]="Non conforme",0,(MROUND(3*((Table_BDD[[#This Row],[Conviction]]+Table_BDD[[#This Row],[Timing]]+Table_BDD[[#This Row],[Sortie]])+1)-2,1))))</f>
        <v>0</v>
      </c>
      <c r="BG46" s="38" t="str">
        <f>IF(Table_BDD[[#This Row],[Position]]="","",IF(Table_BDD[[#This Row],[Points]]&lt;-5,"--",IF(AND(Table_BDD[[#This Row],[Points]]&gt;=-5,Table_BDD[[#This Row],[Points]]&lt;-1.5),"-",IF(AND(Table_BDD[[#This Row],[Points]]&gt;=-1.5,Table_BDD[[#This Row],[Points]]&lt;1.5),"0",IF(AND(Table_BDD[[#This Row],[Points]]&gt;=1.5,Table_BDD[[#This Row],[Points]]&lt;=70),"+",IF(Table_BDD[[#This Row],[Points]]&gt;70,"++"))))))</f>
        <v>--</v>
      </c>
      <c r="BH46" s="37" t="str">
        <f>IF(Table_BDD[[#This Row],[Position]]="","",IF(Table_BDD[[#This Row],[Points]]&gt;0,"Gagnant",IF(Table_BDD[[#This Row],[Points]]=0,"Flat","Perdant")))</f>
        <v>Perdant</v>
      </c>
      <c r="BI46" s="40">
        <f>IF(Table_BDD[[#This Row],[Position]]="","",IF(Table_BDD[[#This Row],[Résultat]]="Gagnant",1,0))</f>
        <v>0</v>
      </c>
      <c r="BJ46" s="40">
        <f>IF(Table_BDD[[#This Row],[Position]]="","",IF(Table_BDD[[#This Row],[Résultat]]="Perdant",1,0))</f>
        <v>1</v>
      </c>
      <c r="BK46" s="40"/>
      <c r="BL46" s="145" t="str">
        <f>IF(Table_BDD[[#This Row],[T / P]]="","",Table_BDD[[#This Row],[T / P]])</f>
        <v/>
      </c>
      <c r="BM46" s="147"/>
      <c r="BN46" s="147"/>
      <c r="BO46" s="147"/>
      <c r="BP46" s="147"/>
      <c r="BQ46" s="127"/>
    </row>
    <row r="47" spans="1:69" x14ac:dyDescent="0.2">
      <c r="A47" s="93">
        <v>43866.695891203701</v>
      </c>
      <c r="B47" s="94">
        <v>259511306</v>
      </c>
      <c r="C47" s="37" t="s">
        <v>8</v>
      </c>
      <c r="D47" s="37" t="s">
        <v>9</v>
      </c>
      <c r="E47" s="37">
        <v>0.5</v>
      </c>
      <c r="F47" s="95">
        <v>29015.27</v>
      </c>
      <c r="G47" s="95">
        <v>29004.27</v>
      </c>
      <c r="H47" s="95">
        <v>29215.27</v>
      </c>
      <c r="I47" s="28">
        <v>43866.831435185188</v>
      </c>
      <c r="J47" s="95">
        <v>29215.32</v>
      </c>
      <c r="K47" s="95">
        <v>0</v>
      </c>
      <c r="L47" s="95">
        <v>0</v>
      </c>
      <c r="M47" s="32">
        <v>90.92</v>
      </c>
      <c r="N47" s="148">
        <f>IF(Table_BDD[[#This Row],[Position]]="","",ROW()-3)</f>
        <v>44</v>
      </c>
      <c r="O47" s="32">
        <f>SUM($L$4:M47)</f>
        <v>17.63000000000001</v>
      </c>
      <c r="P47" s="32">
        <f>Table_BDD[[#This Row],[Equité avant trade]]+Table_BDD[[#This Row],[Profit]]+Table_BDD[[#This Row],[Echange]]</f>
        <v>1017.63</v>
      </c>
      <c r="Q47" s="52">
        <f>INT(Table_BDD[[#This Row],[Horodatage cloture]])</f>
        <v>43866</v>
      </c>
      <c r="R47" s="34">
        <f>WEEKNUM(Table_BDD[[#This Row],[Horodatage cloture]],2)</f>
        <v>6</v>
      </c>
      <c r="S47" s="61">
        <f>WEEKDAY(Table_BDD[[#This Row],[Horodatage cloture]])</f>
        <v>4</v>
      </c>
      <c r="T47" s="63">
        <f>HOUR(Table_BDD[[#This Row],[Horodatage cloture]])</f>
        <v>19</v>
      </c>
      <c r="U47" s="68">
        <f>IF(Table_BDD[[#This Row],[Position]]="","",IF(Table_BDD[[#This Row],[Valeur début de journée unique]]&lt;&gt;0,1,0))</f>
        <v>0</v>
      </c>
      <c r="V47" s="68" t="str">
        <f>IF(Table_BDD[[#This Row],[Nb de séance de trading]]=1,COUNTIF(Table_BDD[Date],Table_BDD[[#This Row],[Date]]),"")</f>
        <v/>
      </c>
      <c r="W47" s="33">
        <f>IF(Table_BDD[[#This Row],[Position]]="","",IF(Table_BDD[[#This Row],[Type]]="buy",ROUND(Table_BDD[[#This Row],[Lvl Entrée]]-Table_BDD[[#This Row],[S / L]],1),ROUND(Table_BDD[[#This Row],[S / L]]-Table_BDD[[#This Row],[Lvl Entrée]],1)))</f>
        <v>11</v>
      </c>
      <c r="X47" s="33">
        <f>IF(Table_BDD[[#This Row],[Position]]="","",IF(Table_BDD[[#This Row],[T / P]]=0,200,IF(Table_BDD[[#This Row],[Type]]="buy",ROUND(Table_BDD[[#This Row],[T / P]]-Table_BDD[[#This Row],[Lvl Entrée]],1),ROUND(Table_BDD[[#This Row],[Lvl Entrée]]-Table_BDD[[#This Row],[T / P]],1))))</f>
        <v>200</v>
      </c>
      <c r="Y47" s="34">
        <f>IF(Table_BDD[[#This Row],[Position]]="","",IF(Table_BDD[[#This Row],[Ecart du SL]]&gt;0,ROUND(ABS(Table_BDD[[#This Row],[Ecart du TP]])/ABS(Table_BDD[[#This Row],[Ecart du SL]]),1),ROUND(ABS(Table_BDD[[#This Row],[Ecart du TP]])/10,1)))</f>
        <v>18.2</v>
      </c>
      <c r="Z47" s="34">
        <f>IF(Table_BDD[[#This Row],[Position]]="","",IF(Table_BDD[[#This Row],[Ecart du SL]]&lt;0,IF(AND(Table_BDD[[#This Row],[Profit]]&gt;0,Table_BDD[[#This Row],[Type]]="sell"),ROUND((Table_BDD[[#This Row],[Lvl Entrée]]-Table_BDD[[#This Row],[Lvl Sortie]])/(10),1),IF(AND(Table_BDD[[#This Row],[Profit]]&gt;0,Table_BDD[[#This Row],[Type]]="buy"),ROUND((Table_BDD[[#This Row],[Lvl Sortie]]-Table_BDD[[#This Row],[Lvl Entrée]])/(10),1),)),IF(AND(Table_BDD[[#This Row],[Profit]]&gt;0,Table_BDD[[#This Row],[Type]]="sell"),ROUND((Table_BDD[[#This Row],[Lvl Entrée]]-Table_BDD[[#This Row],[Lvl Sortie]])/(Table_BDD[[#This Row],[S / L]]-Table_BDD[[#This Row],[Lvl Entrée]]),1),IF(AND(Table_BDD[[#This Row],[Profit]]&gt;0,Table_BDD[[#This Row],[Type]]="buy"),ROUND((Table_BDD[[#This Row],[Lvl Sortie]]-Table_BDD[[#This Row],[Lvl Entrée]])/(Table_BDD[[#This Row],[Lvl Entrée]]-Table_BDD[[#This Row],[S / L]]),1),ROUND(Table_BDD[[#This Row],[Points]]/10,1)))))</f>
        <v>18.2</v>
      </c>
      <c r="AA47" s="32">
        <f>IF(Table_BDD[[#This Row],[Position]]="",AA46,Table_BDD[[#This Row],[Equité après trade]]-Table_BDD[[#This Row],[Profit]]-Table_BDD[[#This Row],[Echange]])</f>
        <v>926.71</v>
      </c>
      <c r="AB47" s="149">
        <f>$B$1+SUM($L$4:M47)</f>
        <v>1017.63</v>
      </c>
      <c r="AC47" s="150">
        <f>IF(Table_BDD[[#This Row],[Position]]="","",_xlfn.MINIFS(Table_BDD[Horodatage ouverture],Table_BDD[Date],Table_BDD[Date]))</f>
        <v>43866.667986111112</v>
      </c>
      <c r="AD47" s="149">
        <f>VLOOKUP(_xlfn.MINIFS(Table_BDD[Horodatage ouverture],Table_BDD[Date],Table_BDD[Date]),Table_BDD[[Horodatage ouverture]:[Heure derniere valeur]],AA$2)</f>
        <v>1011.88</v>
      </c>
      <c r="AE47" s="149">
        <f>IF(VLOOKUP(_xlfn.MINIFS(Table_BDD[Horodatage ouverture],Table_BDD[Date],Table_BDD[Date]),Table_BDD[[Horodatage ouverture]:[Heure derniere valeur]],AA$2)=Table_BDD[[#This Row],[Equité avant trade]],VLOOKUP(_xlfn.MINIFS(Table_BDD[Horodatage ouverture],Table_BDD[Date],Table_BDD[Date]),Table_BDD[[Horodatage ouverture]:[Heure derniere valeur]],AA$2),0)</f>
        <v>0</v>
      </c>
      <c r="AF47" s="150">
        <f>IF(Table_BDD[[#This Row],[Position]]="","",_xlfn.MAXIFS(Table_BDD[Horodatage ouverture],Table_BDD[Date],Table_BDD[Date]))</f>
        <v>43866.695891203701</v>
      </c>
      <c r="AG47" s="32">
        <f>VLOOKUP(_xlfn.MAXIFS(Table_BDD[Horodatage cloture],Table_BDD[Date],Table_BDD[Date]),Table_BDD[[Horodatage ouverture]:[Heure derniere valeur]],AB$2)</f>
        <v>1017.63</v>
      </c>
      <c r="AH47" s="32">
        <f>IF(VLOOKUP(_xlfn.MAXIFS(Table_BDD[Horodatage cloture],Table_BDD[Date],Table_BDD[Date]),Table_BDD[[Horodatage ouverture]:[Heure derniere valeur]],AB$2)=Table_BDD[[#This Row],[Equité après trade]],VLOOKUP(_xlfn.MAXIFS(Table_BDD[Horodatage cloture],Table_BDD[Date],Table_BDD[Date]),Table_BDD[[Horodatage ouverture]:[Heure derniere valeur]],AB$2),0)</f>
        <v>1017.63</v>
      </c>
      <c r="AI47" s="32">
        <f>IF(Table_BDD[[#This Row],[Valeur fin de journée unique]]=0,#N/A,Table_BDD[[#This Row],[Valeur fin de journée unique]])</f>
        <v>1017.63</v>
      </c>
      <c r="AJ47" s="35">
        <f>IF(Table_BDD[[#This Row],[Position]]="","",(Table_BDD[[#This Row],[Equité après trade]]-Table_BDD[[#This Row],[Equité avant trade]])/Table_BDD[[#This Row],[Equité avant trade]])</f>
        <v>9.8110520011654087E-2</v>
      </c>
      <c r="AK47" s="35" t="str">
        <f>IFERROR(((INDEX(Table_BDD[[Trade n°]:[Valeur fin de journée unique]],Table_BDD[[#This Row],[Nb de trade du jour]]+Table_BDD[[#This Row],[Trade n°]]-1,21))-Table_BDD[[#This Row],[Valeur début de journée unique]])/Table_BDD[[#This Row],[Valeur début de journée unique]],"")</f>
        <v/>
      </c>
      <c r="AL47" s="32">
        <f>IF(Table_BDD[[#This Row],[Position]]="","",MAX(Table_BDD[[#This Row],[Cumul équité]],AL46))</f>
        <v>1019.44</v>
      </c>
      <c r="AM47" s="32">
        <f>IF(Table_BDD[[#This Row],[Position]]="","",MIN(Table_BDD[[#This Row],[Cumul équité]],AL46))</f>
        <v>1017.63</v>
      </c>
      <c r="AN47" s="97">
        <f>IF(Table_BDD[[#This Row],[Sommet Drawdown]]&gt;AL46,"",Table_BDD[[#This Row],[Creux Drawdown]]/Table_BDD[[#This Row],[Sommet Drawdown]]-1)</f>
        <v>-1.775484579769393E-3</v>
      </c>
      <c r="AO47" s="36">
        <f>IF(Table_BDD[[#This Row],[Position]]="","",IF(Table_BDD[[#This Row],[Type]]="buy",ROUND(Table_BDD[[#This Row],[Lvl Sortie]]-Table_BDD[[#This Row],[Lvl Entrée]],1),ROUND(Table_BDD[[#This Row],[Lvl Entrée]]-Table_BDD[[#This Row],[Lvl Sortie]],1)))</f>
        <v>200</v>
      </c>
      <c r="AP47" s="36">
        <f>IF(Table_BDD[[#This Row],[Points]]&gt;0,Table_BDD[[#This Row],[Points]],"")</f>
        <v>200</v>
      </c>
      <c r="AQ47" s="36" t="str">
        <f>IF(Table_BDD[[#This Row],[Points]]&lt;0,Table_BDD[[#This Row],[Points]],"")</f>
        <v/>
      </c>
      <c r="AR47" s="36">
        <f>SUM($AO$4:AO47)</f>
        <v>38.700000000000017</v>
      </c>
      <c r="AS47" s="68">
        <f>IF(Table_BDD[[#This Row],[Position]]="","",IF(Table_BDD[[#This Row],[Conformité]]="Conforme",1,0))</f>
        <v>0</v>
      </c>
      <c r="AT47" s="68">
        <f>IF(Table_BDD[[#This Row],[Position]]="","",IF(Table_BDD[[#This Row],[Conformité]]="Non conforme",1,0))</f>
        <v>1</v>
      </c>
      <c r="AU47" s="37" t="s">
        <v>17</v>
      </c>
      <c r="AV47" s="37"/>
      <c r="AW47" s="37"/>
      <c r="AX47" s="37">
        <v>0</v>
      </c>
      <c r="AY47" s="37">
        <v>0</v>
      </c>
      <c r="AZ47" s="37">
        <v>0</v>
      </c>
      <c r="BA47" s="37" t="str">
        <f>IF(Table_BDD[[#This Row],[Position]]="","Sans objet",IF(AND(Table_BDD[[#This Row],[Type]]="sell",Table_BDD[[#This Row],[S / L]]&lt;Table_BDD[[#This Row],[Lvl Entrée]],Table_BDD[[#This Row],[Lvl Sortie]]&lt;=Table_BDD[[#This Row],[S / L]]+2,Table_BDD[[#This Row],[Lvl Sortie]]&lt;Table_BDD[[#This Row],[Lvl Entrée]]-19),"Oui",IF(AND(Table_BDD[[#This Row],[Type]]="buy",Table_BDD[[#This Row],[S / L]]&gt;Table_BDD[[#This Row],[Lvl Entrée]],Table_BDD[[#This Row],[Lvl Sortie]]&gt;=Table_BDD[[#This Row],[S / L]]-2,Table_BDD[[#This Row],[S / L]]&gt;Table_BDD[[#This Row],[Lvl Entrée]]+19),"Oui","Non")))</f>
        <v>Non</v>
      </c>
      <c r="BB47" s="37" t="str">
        <f>IF(Table_BDD[[#This Row],[Position]]="","Sans objet",IF(AND(Table_BDD[[#This Row],[Type]]="sell",Table_BDD[[#This Row],[S / L]]&lt;Table_BDD[[#This Row],[Lvl Entrée]],Table_BDD[[#This Row],[Points]]&gt;=-1),"Oui",IF(AND(Table_BDD[[#This Row],[Type]]="sell",Table_BDD[[#This Row],[S / L]]&gt;Table_BDD[[#This Row],[Lvl Entrée]]),"Non",IF(AND(Table_BDD[[#This Row],[Type]]="buy",Table_BDD[[#This Row],[S / L]]&lt;Table_BDD[[#This Row],[Lvl Entrée]]),"Non",IF(AND(Table_BDD[[#This Row],[Type]]="buy",Table_BDD[[#This Row],[S / L]]&gt;Table_BDD[[#This Row],[Lvl Entrée]],Table_BDD[[#This Row],[Points]]&gt;=-1),"Oui")))))</f>
        <v>Non</v>
      </c>
      <c r="BC47" s="37" t="str">
        <f>IF(Table_BDD[[#This Row],[Position]]="","Sans objet",IF(Table_BDD[[#This Row],[T / P]]="","Non",IF(AND(Table_BDD[[#This Row],[Type]]="sell",Table_BDD[[#This Row],[Lvl Sortie]]&lt;=Table_BDD[[#This Row],[T / P]]),"Oui",IF(AND(Table_BDD[[#This Row],[Type]]="buy",Table_BDD[[#This Row],[Lvl Sortie]]&gt;=Table_BDD[[#This Row],[T / P]]),"Oui","Non"))))</f>
        <v>Oui</v>
      </c>
      <c r="BD47" s="91">
        <f t="array" ref="BD47">IFERROR(INDEX(downloadFile[#All],MATCH(Table_BDD[[#This Row],[Date]],downloadFile[[#All],[Column1]],0),2),BD46)</f>
        <v>1.1023000000000001</v>
      </c>
      <c r="BE47" s="89">
        <f>IF(Table_BDD[[#This Row],[Position]]="","",IF(Table_BDD[[#This Row],[Symbole]]="UsaInd",(Table_BDD[[#This Row],[Volume]]*Table_BDD[[#This Row],[Lvl Entrée]])/(Table_BDD[[#This Row],[Equité avant trade]]*Table_BDD[[#This Row],[EUR/USD]]),IF(Table_BDD[[#This Row],[Symbole]]="Ger30",(Table_BDD[[#This Row],[Volume]]*Table_BDD[[#This Row],[Lvl Entrée]])/Table_BDD[[#This Row],[Equité avant trade]],)))</f>
        <v>14.202112995721119</v>
      </c>
      <c r="BF47" s="38">
        <f>IF(Table_BDD[[#This Row],[Position]]="","",IF(Table_BDD[[#This Row],[Conformité]]="Non conforme",0,(MROUND(3*((Table_BDD[[#This Row],[Conviction]]+Table_BDD[[#This Row],[Timing]]+Table_BDD[[#This Row],[Sortie]])+1)-2,1))))</f>
        <v>0</v>
      </c>
      <c r="BG47" s="38" t="str">
        <f>IF(Table_BDD[[#This Row],[Position]]="","",IF(Table_BDD[[#This Row],[Points]]&lt;-5,"--",IF(AND(Table_BDD[[#This Row],[Points]]&gt;=-5,Table_BDD[[#This Row],[Points]]&lt;-1.5),"-",IF(AND(Table_BDD[[#This Row],[Points]]&gt;=-1.5,Table_BDD[[#This Row],[Points]]&lt;1.5),"0",IF(AND(Table_BDD[[#This Row],[Points]]&gt;=1.5,Table_BDD[[#This Row],[Points]]&lt;=70),"+",IF(Table_BDD[[#This Row],[Points]]&gt;70,"++"))))))</f>
        <v>++</v>
      </c>
      <c r="BH47" s="37" t="str">
        <f>IF(Table_BDD[[#This Row],[Position]]="","",IF(Table_BDD[[#This Row],[Points]]&gt;0,"Gagnant",IF(Table_BDD[[#This Row],[Points]]=0,"Flat","Perdant")))</f>
        <v>Gagnant</v>
      </c>
      <c r="BI47" s="40">
        <f>IF(Table_BDD[[#This Row],[Position]]="","",IF(Table_BDD[[#This Row],[Résultat]]="Gagnant",1,0))</f>
        <v>1</v>
      </c>
      <c r="BJ47" s="40">
        <f>IF(Table_BDD[[#This Row],[Position]]="","",IF(Table_BDD[[#This Row],[Résultat]]="Perdant",1,0))</f>
        <v>0</v>
      </c>
      <c r="BK47" s="40"/>
      <c r="BL47" s="145">
        <f>IF(Table_BDD[[#This Row],[T / P]]="","",Table_BDD[[#This Row],[T / P]])</f>
        <v>29215.27</v>
      </c>
      <c r="BM47" s="147"/>
      <c r="BN47" s="147"/>
      <c r="BO47" s="147"/>
      <c r="BP47" s="147"/>
      <c r="BQ47" s="127"/>
    </row>
    <row r="48" spans="1:69" x14ac:dyDescent="0.2">
      <c r="A48" s="93">
        <v>43867.646678240744</v>
      </c>
      <c r="B48" s="94">
        <v>259554421</v>
      </c>
      <c r="C48" s="37" t="s">
        <v>8</v>
      </c>
      <c r="D48" s="37" t="s">
        <v>9</v>
      </c>
      <c r="E48" s="37">
        <v>0.5</v>
      </c>
      <c r="F48" s="95">
        <v>29364.560000000001</v>
      </c>
      <c r="G48" s="95">
        <v>29366.06</v>
      </c>
      <c r="H48" s="95"/>
      <c r="I48" s="28">
        <v>43867.646828703706</v>
      </c>
      <c r="J48" s="95">
        <v>29365.85</v>
      </c>
      <c r="K48" s="95">
        <v>0</v>
      </c>
      <c r="L48" s="95">
        <v>0</v>
      </c>
      <c r="M48" s="32">
        <v>0.59</v>
      </c>
      <c r="N48" s="148">
        <f>IF(Table_BDD[[#This Row],[Position]]="","",ROW()-3)</f>
        <v>45</v>
      </c>
      <c r="O48" s="32">
        <f>SUM($L$4:M48)</f>
        <v>18.22000000000001</v>
      </c>
      <c r="P48" s="32">
        <f>Table_BDD[[#This Row],[Equité avant trade]]+Table_BDD[[#This Row],[Profit]]+Table_BDD[[#This Row],[Echange]]</f>
        <v>1018.22</v>
      </c>
      <c r="Q48" s="52">
        <f>INT(Table_BDD[[#This Row],[Horodatage cloture]])</f>
        <v>43867</v>
      </c>
      <c r="R48" s="34">
        <f>WEEKNUM(Table_BDD[[#This Row],[Horodatage cloture]],2)</f>
        <v>6</v>
      </c>
      <c r="S48" s="61">
        <f>WEEKDAY(Table_BDD[[#This Row],[Horodatage cloture]])</f>
        <v>5</v>
      </c>
      <c r="T48" s="63">
        <f>HOUR(Table_BDD[[#This Row],[Horodatage cloture]])</f>
        <v>15</v>
      </c>
      <c r="U48" s="68">
        <f>IF(Table_BDD[[#This Row],[Position]]="","",IF(Table_BDD[[#This Row],[Valeur début de journée unique]]&lt;&gt;0,1,0))</f>
        <v>1</v>
      </c>
      <c r="V48" s="68">
        <f>IF(Table_BDD[[#This Row],[Nb de séance de trading]]=1,COUNTIF(Table_BDD[Date],Table_BDD[[#This Row],[Date]]),"")</f>
        <v>12</v>
      </c>
      <c r="W48" s="33">
        <f>IF(Table_BDD[[#This Row],[Position]]="","",IF(Table_BDD[[#This Row],[Type]]="buy",ROUND(Table_BDD[[#This Row],[Lvl Entrée]]-Table_BDD[[#This Row],[S / L]],1),ROUND(Table_BDD[[#This Row],[S / L]]-Table_BDD[[#This Row],[Lvl Entrée]],1)))</f>
        <v>-1.5</v>
      </c>
      <c r="X48" s="33">
        <f>IF(Table_BDD[[#This Row],[Position]]="","",IF(Table_BDD[[#This Row],[T / P]]=0,200,IF(Table_BDD[[#This Row],[Type]]="buy",ROUND(Table_BDD[[#This Row],[T / P]]-Table_BDD[[#This Row],[Lvl Entrée]],1),ROUND(Table_BDD[[#This Row],[Lvl Entrée]]-Table_BDD[[#This Row],[T / P]],1))))</f>
        <v>200</v>
      </c>
      <c r="Y48" s="34">
        <f>IF(Table_BDD[[#This Row],[Position]]="","",IF(Table_BDD[[#This Row],[Ecart du SL]]&gt;0,ROUND(ABS(Table_BDD[[#This Row],[Ecart du TP]])/ABS(Table_BDD[[#This Row],[Ecart du SL]]),1),ROUND(ABS(Table_BDD[[#This Row],[Ecart du TP]])/10,1)))</f>
        <v>20</v>
      </c>
      <c r="Z48" s="34">
        <f>IF(Table_BDD[[#This Row],[Position]]="","",IF(Table_BDD[[#This Row],[Ecart du SL]]&lt;0,IF(AND(Table_BDD[[#This Row],[Profit]]&gt;0,Table_BDD[[#This Row],[Type]]="sell"),ROUND((Table_BDD[[#This Row],[Lvl Entrée]]-Table_BDD[[#This Row],[Lvl Sortie]])/(10),1),IF(AND(Table_BDD[[#This Row],[Profit]]&gt;0,Table_BDD[[#This Row],[Type]]="buy"),ROUND((Table_BDD[[#This Row],[Lvl Sortie]]-Table_BDD[[#This Row],[Lvl Entrée]])/(10),1),)),IF(AND(Table_BDD[[#This Row],[Profit]]&gt;0,Table_BDD[[#This Row],[Type]]="sell"),ROUND((Table_BDD[[#This Row],[Lvl Entrée]]-Table_BDD[[#This Row],[Lvl Sortie]])/(Table_BDD[[#This Row],[S / L]]-Table_BDD[[#This Row],[Lvl Entrée]]),1),IF(AND(Table_BDD[[#This Row],[Profit]]&gt;0,Table_BDD[[#This Row],[Type]]="buy"),ROUND((Table_BDD[[#This Row],[Lvl Sortie]]-Table_BDD[[#This Row],[Lvl Entrée]])/(Table_BDD[[#This Row],[Lvl Entrée]]-Table_BDD[[#This Row],[S / L]]),1),ROUND(Table_BDD[[#This Row],[Points]]/10,1)))))</f>
        <v>0.1</v>
      </c>
      <c r="AA48" s="32">
        <f>IF(Table_BDD[[#This Row],[Position]]="",AA47,Table_BDD[[#This Row],[Equité après trade]]-Table_BDD[[#This Row],[Profit]]-Table_BDD[[#This Row],[Echange]])</f>
        <v>1017.63</v>
      </c>
      <c r="AB48" s="149">
        <f>$B$1+SUM($L$4:M48)</f>
        <v>1018.22</v>
      </c>
      <c r="AC48" s="150">
        <f>IF(Table_BDD[[#This Row],[Position]]="","",_xlfn.MINIFS(Table_BDD[Horodatage ouverture],Table_BDD[Date],Table_BDD[Date]))</f>
        <v>43867.646678240744</v>
      </c>
      <c r="AD48" s="149">
        <f>VLOOKUP(_xlfn.MINIFS(Table_BDD[Horodatage ouverture],Table_BDD[Date],Table_BDD[Date]),Table_BDD[[Horodatage ouverture]:[Heure derniere valeur]],AA$2)</f>
        <v>1017.63</v>
      </c>
      <c r="AE48" s="149">
        <f>IF(VLOOKUP(_xlfn.MINIFS(Table_BDD[Horodatage ouverture],Table_BDD[Date],Table_BDD[Date]),Table_BDD[[Horodatage ouverture]:[Heure derniere valeur]],AA$2)=Table_BDD[[#This Row],[Equité avant trade]],VLOOKUP(_xlfn.MINIFS(Table_BDD[Horodatage ouverture],Table_BDD[Date],Table_BDD[Date]),Table_BDD[[Horodatage ouverture]:[Heure derniere valeur]],AA$2),0)</f>
        <v>1017.63</v>
      </c>
      <c r="AF48" s="150">
        <f>IF(Table_BDD[[#This Row],[Position]]="","",_xlfn.MAXIFS(Table_BDD[Horodatage ouverture],Table_BDD[Date],Table_BDD[Date]))</f>
        <v>43867.880486111113</v>
      </c>
      <c r="AG48" s="32">
        <f>VLOOKUP(_xlfn.MAXIFS(Table_BDD[Horodatage cloture],Table_BDD[Date],Table_BDD[Date]),Table_BDD[[Horodatage ouverture]:[Heure derniere valeur]],AB$2)</f>
        <v>1032.94</v>
      </c>
      <c r="AH48" s="32">
        <f>IF(VLOOKUP(_xlfn.MAXIFS(Table_BDD[Horodatage cloture],Table_BDD[Date],Table_BDD[Date]),Table_BDD[[Horodatage ouverture]:[Heure derniere valeur]],AB$2)=Table_BDD[[#This Row],[Equité après trade]],VLOOKUP(_xlfn.MAXIFS(Table_BDD[Horodatage cloture],Table_BDD[Date],Table_BDD[Date]),Table_BDD[[Horodatage ouverture]:[Heure derniere valeur]],AB$2),0)</f>
        <v>0</v>
      </c>
      <c r="AI48" s="32" t="e">
        <f>IF(Table_BDD[[#This Row],[Valeur fin de journée unique]]=0,#N/A,Table_BDD[[#This Row],[Valeur fin de journée unique]])</f>
        <v>#N/A</v>
      </c>
      <c r="AJ48" s="35">
        <f>IF(Table_BDD[[#This Row],[Position]]="","",(Table_BDD[[#This Row],[Equité après trade]]-Table_BDD[[#This Row],[Equité avant trade]])/Table_BDD[[#This Row],[Equité avant trade]])</f>
        <v>5.7977850495762886E-4</v>
      </c>
      <c r="AK48" s="35">
        <f>IFERROR(((INDEX(Table_BDD[[Trade n°]:[Valeur fin de journée unique]],Table_BDD[[#This Row],[Nb de trade du jour]]+Table_BDD[[#This Row],[Trade n°]]-1,21))-Table_BDD[[#This Row],[Valeur début de journée unique]])/Table_BDD[[#This Row],[Valeur début de journée unique]],"")</f>
        <v>1.5044760865933648E-2</v>
      </c>
      <c r="AL48" s="32">
        <f>IF(Table_BDD[[#This Row],[Position]]="","",MAX(Table_BDD[[#This Row],[Cumul équité]],AL47))</f>
        <v>1019.44</v>
      </c>
      <c r="AM48" s="32">
        <f>IF(Table_BDD[[#This Row],[Position]]="","",MIN(Table_BDD[[#This Row],[Cumul équité]],AL47))</f>
        <v>1018.22</v>
      </c>
      <c r="AN48" s="97">
        <f>IF(Table_BDD[[#This Row],[Sommet Drawdown]]&gt;AL47,"",Table_BDD[[#This Row],[Creux Drawdown]]/Table_BDD[[#This Row],[Sommet Drawdown]]-1)</f>
        <v>-1.1967354626069016E-3</v>
      </c>
      <c r="AO48" s="36">
        <f>IF(Table_BDD[[#This Row],[Position]]="","",IF(Table_BDD[[#This Row],[Type]]="buy",ROUND(Table_BDD[[#This Row],[Lvl Sortie]]-Table_BDD[[#This Row],[Lvl Entrée]],1),ROUND(Table_BDD[[#This Row],[Lvl Entrée]]-Table_BDD[[#This Row],[Lvl Sortie]],1)))</f>
        <v>1.3</v>
      </c>
      <c r="AP48" s="36">
        <f>IF(Table_BDD[[#This Row],[Points]]&gt;0,Table_BDD[[#This Row],[Points]],"")</f>
        <v>1.3</v>
      </c>
      <c r="AQ48" s="36" t="str">
        <f>IF(Table_BDD[[#This Row],[Points]]&lt;0,Table_BDD[[#This Row],[Points]],"")</f>
        <v/>
      </c>
      <c r="AR48" s="36">
        <f>SUM($AO$4:AO48)</f>
        <v>40.000000000000014</v>
      </c>
      <c r="AS48" s="68">
        <f>IF(Table_BDD[[#This Row],[Position]]="","",IF(Table_BDD[[#This Row],[Conformité]]="Conforme",1,0))</f>
        <v>0</v>
      </c>
      <c r="AT48" s="68">
        <f>IF(Table_BDD[[#This Row],[Position]]="","",IF(Table_BDD[[#This Row],[Conformité]]="Non conforme",1,0))</f>
        <v>1</v>
      </c>
      <c r="AU48" s="37" t="s">
        <v>17</v>
      </c>
      <c r="AV48" s="37"/>
      <c r="AW48" s="37"/>
      <c r="AX48" s="37">
        <v>0</v>
      </c>
      <c r="AY48" s="37">
        <v>0</v>
      </c>
      <c r="AZ48" s="37">
        <v>0</v>
      </c>
      <c r="BA48" s="37" t="str">
        <f>IF(Table_BDD[[#This Row],[Position]]="","Sans objet",IF(AND(Table_BDD[[#This Row],[Type]]="sell",Table_BDD[[#This Row],[S / L]]&lt;Table_BDD[[#This Row],[Lvl Entrée]],Table_BDD[[#This Row],[Lvl Sortie]]&lt;=Table_BDD[[#This Row],[S / L]]+2,Table_BDD[[#This Row],[Lvl Sortie]]&lt;Table_BDD[[#This Row],[Lvl Entrée]]-19),"Oui",IF(AND(Table_BDD[[#This Row],[Type]]="buy",Table_BDD[[#This Row],[S / L]]&gt;Table_BDD[[#This Row],[Lvl Entrée]],Table_BDD[[#This Row],[Lvl Sortie]]&gt;=Table_BDD[[#This Row],[S / L]]-2,Table_BDD[[#This Row],[S / L]]&gt;Table_BDD[[#This Row],[Lvl Entrée]]+19),"Oui","Non")))</f>
        <v>Non</v>
      </c>
      <c r="BB48" s="37" t="str">
        <f>IF(Table_BDD[[#This Row],[Position]]="","Sans objet",IF(AND(Table_BDD[[#This Row],[Type]]="sell",Table_BDD[[#This Row],[S / L]]&lt;Table_BDD[[#This Row],[Lvl Entrée]],Table_BDD[[#This Row],[Points]]&gt;=-1),"Oui",IF(AND(Table_BDD[[#This Row],[Type]]="sell",Table_BDD[[#This Row],[S / L]]&gt;Table_BDD[[#This Row],[Lvl Entrée]]),"Non",IF(AND(Table_BDD[[#This Row],[Type]]="buy",Table_BDD[[#This Row],[S / L]]&lt;Table_BDD[[#This Row],[Lvl Entrée]]),"Non",IF(AND(Table_BDD[[#This Row],[Type]]="buy",Table_BDD[[#This Row],[S / L]]&gt;Table_BDD[[#This Row],[Lvl Entrée]],Table_BDD[[#This Row],[Points]]&gt;=-1),"Oui")))))</f>
        <v>Oui</v>
      </c>
      <c r="BC48" s="37" t="str">
        <f>IF(Table_BDD[[#This Row],[Position]]="","Sans objet",IF(Table_BDD[[#This Row],[T / P]]="","Non",IF(AND(Table_BDD[[#This Row],[Type]]="sell",Table_BDD[[#This Row],[Lvl Sortie]]&lt;=Table_BDD[[#This Row],[T / P]]),"Oui",IF(AND(Table_BDD[[#This Row],[Type]]="buy",Table_BDD[[#This Row],[Lvl Sortie]]&gt;=Table_BDD[[#This Row],[T / P]]),"Oui","Non"))))</f>
        <v>Non</v>
      </c>
      <c r="BD48" s="91">
        <f t="array" ref="BD48">IFERROR(INDEX(downloadFile[#All],MATCH(Table_BDD[[#This Row],[Date]],downloadFile[[#All],[Column1]],0),2),BD47)</f>
        <v>1.1003000000000001</v>
      </c>
      <c r="BE48" s="89">
        <f>IF(Table_BDD[[#This Row],[Position]]="","",IF(Table_BDD[[#This Row],[Symbole]]="UsaInd",(Table_BDD[[#This Row],[Volume]]*Table_BDD[[#This Row],[Lvl Entrée]])/(Table_BDD[[#This Row],[Equité avant trade]]*Table_BDD[[#This Row],[EUR/USD]]),IF(Table_BDD[[#This Row],[Symbole]]="Ger30",(Table_BDD[[#This Row],[Volume]]*Table_BDD[[#This Row],[Lvl Entrée]])/Table_BDD[[#This Row],[Equité avant trade]],)))</f>
        <v>13.112710936722703</v>
      </c>
      <c r="BF48" s="38">
        <f>IF(Table_BDD[[#This Row],[Position]]="","",IF(Table_BDD[[#This Row],[Conformité]]="Non conforme",0,(MROUND(3*((Table_BDD[[#This Row],[Conviction]]+Table_BDD[[#This Row],[Timing]]+Table_BDD[[#This Row],[Sortie]])+1)-2,1))))</f>
        <v>0</v>
      </c>
      <c r="BG48" s="38" t="str">
        <f>IF(Table_BDD[[#This Row],[Position]]="","",IF(Table_BDD[[#This Row],[Points]]&lt;-5,"--",IF(AND(Table_BDD[[#This Row],[Points]]&gt;=-5,Table_BDD[[#This Row],[Points]]&lt;-1.5),"-",IF(AND(Table_BDD[[#This Row],[Points]]&gt;=-1.5,Table_BDD[[#This Row],[Points]]&lt;1.5),"0",IF(AND(Table_BDD[[#This Row],[Points]]&gt;=1.5,Table_BDD[[#This Row],[Points]]&lt;=70),"+",IF(Table_BDD[[#This Row],[Points]]&gt;70,"++"))))))</f>
        <v>0</v>
      </c>
      <c r="BH48" s="37" t="str">
        <f>IF(Table_BDD[[#This Row],[Position]]="","",IF(Table_BDD[[#This Row],[Points]]&gt;0,"Gagnant",IF(Table_BDD[[#This Row],[Points]]=0,"Flat","Perdant")))</f>
        <v>Gagnant</v>
      </c>
      <c r="BI48" s="40">
        <f>IF(Table_BDD[[#This Row],[Position]]="","",IF(Table_BDD[[#This Row],[Résultat]]="Gagnant",1,0))</f>
        <v>1</v>
      </c>
      <c r="BJ48" s="40">
        <f>IF(Table_BDD[[#This Row],[Position]]="","",IF(Table_BDD[[#This Row],[Résultat]]="Perdant",1,0))</f>
        <v>0</v>
      </c>
      <c r="BK48" s="40"/>
      <c r="BL48" s="145" t="str">
        <f>IF(Table_BDD[[#This Row],[T / P]]="","",Table_BDD[[#This Row],[T / P]])</f>
        <v/>
      </c>
      <c r="BM48" s="147"/>
      <c r="BN48" s="147"/>
      <c r="BO48" s="147"/>
      <c r="BP48" s="147"/>
      <c r="BQ48" s="127"/>
    </row>
    <row r="49" spans="1:69" x14ac:dyDescent="0.2">
      <c r="A49" s="93">
        <v>43867.647905092592</v>
      </c>
      <c r="B49" s="94">
        <v>259554948</v>
      </c>
      <c r="C49" s="37" t="s">
        <v>8</v>
      </c>
      <c r="D49" s="37" t="s">
        <v>9</v>
      </c>
      <c r="E49" s="37">
        <v>0.5</v>
      </c>
      <c r="F49" s="95">
        <v>29378.61</v>
      </c>
      <c r="G49" s="95">
        <v>29368.77</v>
      </c>
      <c r="H49" s="95"/>
      <c r="I49" s="28">
        <v>43867.648020833331</v>
      </c>
      <c r="J49" s="95">
        <v>29368.63</v>
      </c>
      <c r="K49" s="95">
        <v>0</v>
      </c>
      <c r="L49" s="95">
        <v>0</v>
      </c>
      <c r="M49" s="32">
        <v>-4.54</v>
      </c>
      <c r="N49" s="148">
        <f>IF(Table_BDD[[#This Row],[Position]]="","",ROW()-3)</f>
        <v>46</v>
      </c>
      <c r="O49" s="32">
        <f>SUM($L$4:M49)</f>
        <v>13.68000000000001</v>
      </c>
      <c r="P49" s="32">
        <f>Table_BDD[[#This Row],[Equité avant trade]]+Table_BDD[[#This Row],[Profit]]+Table_BDD[[#This Row],[Echange]]</f>
        <v>1013.6800000000001</v>
      </c>
      <c r="Q49" s="52">
        <f>INT(Table_BDD[[#This Row],[Horodatage cloture]])</f>
        <v>43867</v>
      </c>
      <c r="R49" s="34">
        <f>WEEKNUM(Table_BDD[[#This Row],[Horodatage cloture]],2)</f>
        <v>6</v>
      </c>
      <c r="S49" s="61">
        <f>WEEKDAY(Table_BDD[[#This Row],[Horodatage cloture]])</f>
        <v>5</v>
      </c>
      <c r="T49" s="63">
        <f>HOUR(Table_BDD[[#This Row],[Horodatage cloture]])</f>
        <v>15</v>
      </c>
      <c r="U49" s="68">
        <f>IF(Table_BDD[[#This Row],[Position]]="","",IF(Table_BDD[[#This Row],[Valeur début de journée unique]]&lt;&gt;0,1,0))</f>
        <v>0</v>
      </c>
      <c r="V49" s="68" t="str">
        <f>IF(Table_BDD[[#This Row],[Nb de séance de trading]]=1,COUNTIF(Table_BDD[Date],Table_BDD[[#This Row],[Date]]),"")</f>
        <v/>
      </c>
      <c r="W49" s="33">
        <f>IF(Table_BDD[[#This Row],[Position]]="","",IF(Table_BDD[[#This Row],[Type]]="buy",ROUND(Table_BDD[[#This Row],[Lvl Entrée]]-Table_BDD[[#This Row],[S / L]],1),ROUND(Table_BDD[[#This Row],[S / L]]-Table_BDD[[#This Row],[Lvl Entrée]],1)))</f>
        <v>9.8000000000000007</v>
      </c>
      <c r="X49" s="33">
        <f>IF(Table_BDD[[#This Row],[Position]]="","",IF(Table_BDD[[#This Row],[T / P]]=0,200,IF(Table_BDD[[#This Row],[Type]]="buy",ROUND(Table_BDD[[#This Row],[T / P]]-Table_BDD[[#This Row],[Lvl Entrée]],1),ROUND(Table_BDD[[#This Row],[Lvl Entrée]]-Table_BDD[[#This Row],[T / P]],1))))</f>
        <v>200</v>
      </c>
      <c r="Y49" s="34">
        <f>IF(Table_BDD[[#This Row],[Position]]="","",IF(Table_BDD[[#This Row],[Ecart du SL]]&gt;0,ROUND(ABS(Table_BDD[[#This Row],[Ecart du TP]])/ABS(Table_BDD[[#This Row],[Ecart du SL]]),1),ROUND(ABS(Table_BDD[[#This Row],[Ecart du TP]])/10,1)))</f>
        <v>20.399999999999999</v>
      </c>
      <c r="Z49" s="34">
        <f>IF(Table_BDD[[#This Row],[Position]]="","",IF(Table_BDD[[#This Row],[Ecart du SL]]&lt;0,IF(AND(Table_BDD[[#This Row],[Profit]]&gt;0,Table_BDD[[#This Row],[Type]]="sell"),ROUND((Table_BDD[[#This Row],[Lvl Entrée]]-Table_BDD[[#This Row],[Lvl Sortie]])/(10),1),IF(AND(Table_BDD[[#This Row],[Profit]]&gt;0,Table_BDD[[#This Row],[Type]]="buy"),ROUND((Table_BDD[[#This Row],[Lvl Sortie]]-Table_BDD[[#This Row],[Lvl Entrée]])/(10),1),)),IF(AND(Table_BDD[[#This Row],[Profit]]&gt;0,Table_BDD[[#This Row],[Type]]="sell"),ROUND((Table_BDD[[#This Row],[Lvl Entrée]]-Table_BDD[[#This Row],[Lvl Sortie]])/(Table_BDD[[#This Row],[S / L]]-Table_BDD[[#This Row],[Lvl Entrée]]),1),IF(AND(Table_BDD[[#This Row],[Profit]]&gt;0,Table_BDD[[#This Row],[Type]]="buy"),ROUND((Table_BDD[[#This Row],[Lvl Sortie]]-Table_BDD[[#This Row],[Lvl Entrée]])/(Table_BDD[[#This Row],[Lvl Entrée]]-Table_BDD[[#This Row],[S / L]]),1),ROUND(Table_BDD[[#This Row],[Points]]/10,1)))))</f>
        <v>-1</v>
      </c>
      <c r="AA49" s="32">
        <f>IF(Table_BDD[[#This Row],[Position]]="",AA48,Table_BDD[[#This Row],[Equité après trade]]-Table_BDD[[#This Row],[Profit]]-Table_BDD[[#This Row],[Echange]])</f>
        <v>1018.22</v>
      </c>
      <c r="AB49" s="149">
        <f>$B$1+SUM($L$4:M49)</f>
        <v>1013.6800000000001</v>
      </c>
      <c r="AC49" s="150">
        <f>IF(Table_BDD[[#This Row],[Position]]="","",_xlfn.MINIFS(Table_BDD[Horodatage ouverture],Table_BDD[Date],Table_BDD[Date]))</f>
        <v>43867.646678240744</v>
      </c>
      <c r="AD49" s="149">
        <f>VLOOKUP(_xlfn.MINIFS(Table_BDD[Horodatage ouverture],Table_BDD[Date],Table_BDD[Date]),Table_BDD[[Horodatage ouverture]:[Heure derniere valeur]],AA$2)</f>
        <v>1017.63</v>
      </c>
      <c r="AE49" s="149">
        <f>IF(VLOOKUP(_xlfn.MINIFS(Table_BDD[Horodatage ouverture],Table_BDD[Date],Table_BDD[Date]),Table_BDD[[Horodatage ouverture]:[Heure derniere valeur]],AA$2)=Table_BDD[[#This Row],[Equité avant trade]],VLOOKUP(_xlfn.MINIFS(Table_BDD[Horodatage ouverture],Table_BDD[Date],Table_BDD[Date]),Table_BDD[[Horodatage ouverture]:[Heure derniere valeur]],AA$2),0)</f>
        <v>0</v>
      </c>
      <c r="AF49" s="150">
        <f>IF(Table_BDD[[#This Row],[Position]]="","",_xlfn.MAXIFS(Table_BDD[Horodatage ouverture],Table_BDD[Date],Table_BDD[Date]))</f>
        <v>43867.880486111113</v>
      </c>
      <c r="AG49" s="32">
        <f>VLOOKUP(_xlfn.MAXIFS(Table_BDD[Horodatage cloture],Table_BDD[Date],Table_BDD[Date]),Table_BDD[[Horodatage ouverture]:[Heure derniere valeur]],AB$2)</f>
        <v>1032.94</v>
      </c>
      <c r="AH49" s="32">
        <f>IF(VLOOKUP(_xlfn.MAXIFS(Table_BDD[Horodatage cloture],Table_BDD[Date],Table_BDD[Date]),Table_BDD[[Horodatage ouverture]:[Heure derniere valeur]],AB$2)=Table_BDD[[#This Row],[Equité après trade]],VLOOKUP(_xlfn.MAXIFS(Table_BDD[Horodatage cloture],Table_BDD[Date],Table_BDD[Date]),Table_BDD[[Horodatage ouverture]:[Heure derniere valeur]],AB$2),0)</f>
        <v>0</v>
      </c>
      <c r="AI49" s="32" t="e">
        <f>IF(Table_BDD[[#This Row],[Valeur fin de journée unique]]=0,#N/A,Table_BDD[[#This Row],[Valeur fin de journée unique]])</f>
        <v>#N/A</v>
      </c>
      <c r="AJ49" s="35">
        <f>IF(Table_BDD[[#This Row],[Position]]="","",(Table_BDD[[#This Row],[Equité après trade]]-Table_BDD[[#This Row],[Equité avant trade]])/Table_BDD[[#This Row],[Equité avant trade]])</f>
        <v>-4.4587613678772403E-3</v>
      </c>
      <c r="AK49" s="35" t="str">
        <f>IFERROR(((INDEX(Table_BDD[[Trade n°]:[Valeur fin de journée unique]],Table_BDD[[#This Row],[Nb de trade du jour]]+Table_BDD[[#This Row],[Trade n°]]-1,21))-Table_BDD[[#This Row],[Valeur début de journée unique]])/Table_BDD[[#This Row],[Valeur début de journée unique]],"")</f>
        <v/>
      </c>
      <c r="AL49" s="32">
        <f>IF(Table_BDD[[#This Row],[Position]]="","",MAX(Table_BDD[[#This Row],[Cumul équité]],AL48))</f>
        <v>1019.44</v>
      </c>
      <c r="AM49" s="32">
        <f>IF(Table_BDD[[#This Row],[Position]]="","",MIN(Table_BDD[[#This Row],[Cumul équité]],AL48))</f>
        <v>1013.6800000000001</v>
      </c>
      <c r="AN49" s="97">
        <f>IF(Table_BDD[[#This Row],[Sommet Drawdown]]&gt;AL48,"",Table_BDD[[#This Row],[Creux Drawdown]]/Table_BDD[[#This Row],[Sommet Drawdown]]-1)</f>
        <v>-5.6501608726359231E-3</v>
      </c>
      <c r="AO49" s="36">
        <f>IF(Table_BDD[[#This Row],[Position]]="","",IF(Table_BDD[[#This Row],[Type]]="buy",ROUND(Table_BDD[[#This Row],[Lvl Sortie]]-Table_BDD[[#This Row],[Lvl Entrée]],1),ROUND(Table_BDD[[#This Row],[Lvl Entrée]]-Table_BDD[[#This Row],[Lvl Sortie]],1)))</f>
        <v>-10</v>
      </c>
      <c r="AP49" s="36" t="str">
        <f>IF(Table_BDD[[#This Row],[Points]]&gt;0,Table_BDD[[#This Row],[Points]],"")</f>
        <v/>
      </c>
      <c r="AQ49" s="36">
        <f>IF(Table_BDD[[#This Row],[Points]]&lt;0,Table_BDD[[#This Row],[Points]],"")</f>
        <v>-10</v>
      </c>
      <c r="AR49" s="36">
        <f>SUM($AO$4:AO49)</f>
        <v>30.000000000000014</v>
      </c>
      <c r="AS49" s="68">
        <f>IF(Table_BDD[[#This Row],[Position]]="","",IF(Table_BDD[[#This Row],[Conformité]]="Conforme",1,0))</f>
        <v>0</v>
      </c>
      <c r="AT49" s="68">
        <f>IF(Table_BDD[[#This Row],[Position]]="","",IF(Table_BDD[[#This Row],[Conformité]]="Non conforme",1,0))</f>
        <v>1</v>
      </c>
      <c r="AU49" s="37" t="s">
        <v>17</v>
      </c>
      <c r="AV49" s="37"/>
      <c r="AW49" s="37"/>
      <c r="AX49" s="37">
        <v>0</v>
      </c>
      <c r="AY49" s="37">
        <v>0</v>
      </c>
      <c r="AZ49" s="37">
        <v>0</v>
      </c>
      <c r="BA49" s="37" t="str">
        <f>IF(Table_BDD[[#This Row],[Position]]="","Sans objet",IF(AND(Table_BDD[[#This Row],[Type]]="sell",Table_BDD[[#This Row],[S / L]]&lt;Table_BDD[[#This Row],[Lvl Entrée]],Table_BDD[[#This Row],[Lvl Sortie]]&lt;=Table_BDD[[#This Row],[S / L]]+2,Table_BDD[[#This Row],[Lvl Sortie]]&lt;Table_BDD[[#This Row],[Lvl Entrée]]-19),"Oui",IF(AND(Table_BDD[[#This Row],[Type]]="buy",Table_BDD[[#This Row],[S / L]]&gt;Table_BDD[[#This Row],[Lvl Entrée]],Table_BDD[[#This Row],[Lvl Sortie]]&gt;=Table_BDD[[#This Row],[S / L]]-2,Table_BDD[[#This Row],[S / L]]&gt;Table_BDD[[#This Row],[Lvl Entrée]]+19),"Oui","Non")))</f>
        <v>Non</v>
      </c>
      <c r="BB49" s="37" t="str">
        <f>IF(Table_BDD[[#This Row],[Position]]="","Sans objet",IF(AND(Table_BDD[[#This Row],[Type]]="sell",Table_BDD[[#This Row],[S / L]]&lt;Table_BDD[[#This Row],[Lvl Entrée]],Table_BDD[[#This Row],[Points]]&gt;=-1),"Oui",IF(AND(Table_BDD[[#This Row],[Type]]="sell",Table_BDD[[#This Row],[S / L]]&gt;Table_BDD[[#This Row],[Lvl Entrée]]),"Non",IF(AND(Table_BDD[[#This Row],[Type]]="buy",Table_BDD[[#This Row],[S / L]]&lt;Table_BDD[[#This Row],[Lvl Entrée]]),"Non",IF(AND(Table_BDD[[#This Row],[Type]]="buy",Table_BDD[[#This Row],[S / L]]&gt;Table_BDD[[#This Row],[Lvl Entrée]],Table_BDD[[#This Row],[Points]]&gt;=-1),"Oui")))))</f>
        <v>Non</v>
      </c>
      <c r="BC49" s="37" t="str">
        <f>IF(Table_BDD[[#This Row],[Position]]="","Sans objet",IF(Table_BDD[[#This Row],[T / P]]="","Non",IF(AND(Table_BDD[[#This Row],[Type]]="sell",Table_BDD[[#This Row],[Lvl Sortie]]&lt;=Table_BDD[[#This Row],[T / P]]),"Oui",IF(AND(Table_BDD[[#This Row],[Type]]="buy",Table_BDD[[#This Row],[Lvl Sortie]]&gt;=Table_BDD[[#This Row],[T / P]]),"Oui","Non"))))</f>
        <v>Non</v>
      </c>
      <c r="BD49" s="91">
        <f t="array" ref="BD49">IFERROR(INDEX(downloadFile[#All],MATCH(Table_BDD[[#This Row],[Date]],downloadFile[[#All],[Column1]],0),2),BD48)</f>
        <v>1.1003000000000001</v>
      </c>
      <c r="BE49" s="89">
        <f>IF(Table_BDD[[#This Row],[Position]]="","",IF(Table_BDD[[#This Row],[Symbole]]="UsaInd",(Table_BDD[[#This Row],[Volume]]*Table_BDD[[#This Row],[Lvl Entrée]])/(Table_BDD[[#This Row],[Equité avant trade]]*Table_BDD[[#This Row],[EUR/USD]]),IF(Table_BDD[[#This Row],[Symbole]]="Ger30",(Table_BDD[[#This Row],[Volume]]*Table_BDD[[#This Row],[Lvl Entrée]])/Table_BDD[[#This Row],[Equité avant trade]],)))</f>
        <v>13.11138325009609</v>
      </c>
      <c r="BF49" s="38">
        <f>IF(Table_BDD[[#This Row],[Position]]="","",IF(Table_BDD[[#This Row],[Conformité]]="Non conforme",0,(MROUND(3*((Table_BDD[[#This Row],[Conviction]]+Table_BDD[[#This Row],[Timing]]+Table_BDD[[#This Row],[Sortie]])+1)-2,1))))</f>
        <v>0</v>
      </c>
      <c r="BG49" s="38" t="str">
        <f>IF(Table_BDD[[#This Row],[Position]]="","",IF(Table_BDD[[#This Row],[Points]]&lt;-5,"--",IF(AND(Table_BDD[[#This Row],[Points]]&gt;=-5,Table_BDD[[#This Row],[Points]]&lt;-1.5),"-",IF(AND(Table_BDD[[#This Row],[Points]]&gt;=-1.5,Table_BDD[[#This Row],[Points]]&lt;1.5),"0",IF(AND(Table_BDD[[#This Row],[Points]]&gt;=1.5,Table_BDD[[#This Row],[Points]]&lt;=70),"+",IF(Table_BDD[[#This Row],[Points]]&gt;70,"++"))))))</f>
        <v>--</v>
      </c>
      <c r="BH49" s="37" t="str">
        <f>IF(Table_BDD[[#This Row],[Position]]="","",IF(Table_BDD[[#This Row],[Points]]&gt;0,"Gagnant",IF(Table_BDD[[#This Row],[Points]]=0,"Flat","Perdant")))</f>
        <v>Perdant</v>
      </c>
      <c r="BI49" s="40">
        <f>IF(Table_BDD[[#This Row],[Position]]="","",IF(Table_BDD[[#This Row],[Résultat]]="Gagnant",1,0))</f>
        <v>0</v>
      </c>
      <c r="BJ49" s="40">
        <f>IF(Table_BDD[[#This Row],[Position]]="","",IF(Table_BDD[[#This Row],[Résultat]]="Perdant",1,0))</f>
        <v>1</v>
      </c>
      <c r="BK49" s="40"/>
      <c r="BL49" s="145" t="str">
        <f>IF(Table_BDD[[#This Row],[T / P]]="","",Table_BDD[[#This Row],[T / P]])</f>
        <v/>
      </c>
      <c r="BM49" s="147"/>
      <c r="BN49" s="147"/>
      <c r="BO49" s="147"/>
      <c r="BP49" s="147"/>
      <c r="BQ49" s="127"/>
    </row>
    <row r="50" spans="1:69" x14ac:dyDescent="0.2">
      <c r="A50" s="93">
        <v>43867.648125</v>
      </c>
      <c r="B50" s="94">
        <v>259554995</v>
      </c>
      <c r="C50" s="37" t="s">
        <v>8</v>
      </c>
      <c r="D50" s="37" t="s">
        <v>9</v>
      </c>
      <c r="E50" s="37">
        <v>0.5</v>
      </c>
      <c r="F50" s="95">
        <v>29366.76</v>
      </c>
      <c r="G50" s="95">
        <v>29357.68</v>
      </c>
      <c r="H50" s="95">
        <v>29386.76</v>
      </c>
      <c r="I50" s="28">
        <v>43867.648611111108</v>
      </c>
      <c r="J50" s="95">
        <v>29355.54</v>
      </c>
      <c r="K50" s="95">
        <v>0</v>
      </c>
      <c r="L50" s="95">
        <v>0</v>
      </c>
      <c r="M50" s="32">
        <v>-5.0999999999999996</v>
      </c>
      <c r="N50" s="148">
        <f>IF(Table_BDD[[#This Row],[Position]]="","",ROW()-3)</f>
        <v>47</v>
      </c>
      <c r="O50" s="32">
        <f>SUM($L$4:M50)</f>
        <v>8.5800000000000107</v>
      </c>
      <c r="P50" s="32">
        <f>Table_BDD[[#This Row],[Equité avant trade]]+Table_BDD[[#This Row],[Profit]]+Table_BDD[[#This Row],[Echange]]</f>
        <v>1008.58</v>
      </c>
      <c r="Q50" s="52">
        <f>INT(Table_BDD[[#This Row],[Horodatage cloture]])</f>
        <v>43867</v>
      </c>
      <c r="R50" s="34">
        <f>WEEKNUM(Table_BDD[[#This Row],[Horodatage cloture]],2)</f>
        <v>6</v>
      </c>
      <c r="S50" s="61">
        <f>WEEKDAY(Table_BDD[[#This Row],[Horodatage cloture]])</f>
        <v>5</v>
      </c>
      <c r="T50" s="63">
        <f>HOUR(Table_BDD[[#This Row],[Horodatage cloture]])</f>
        <v>15</v>
      </c>
      <c r="U50" s="68">
        <f>IF(Table_BDD[[#This Row],[Position]]="","",IF(Table_BDD[[#This Row],[Valeur début de journée unique]]&lt;&gt;0,1,0))</f>
        <v>0</v>
      </c>
      <c r="V50" s="68" t="str">
        <f>IF(Table_BDD[[#This Row],[Nb de séance de trading]]=1,COUNTIF(Table_BDD[Date],Table_BDD[[#This Row],[Date]]),"")</f>
        <v/>
      </c>
      <c r="W50" s="33">
        <f>IF(Table_BDD[[#This Row],[Position]]="","",IF(Table_BDD[[#This Row],[Type]]="buy",ROUND(Table_BDD[[#This Row],[Lvl Entrée]]-Table_BDD[[#This Row],[S / L]],1),ROUND(Table_BDD[[#This Row],[S / L]]-Table_BDD[[#This Row],[Lvl Entrée]],1)))</f>
        <v>9.1</v>
      </c>
      <c r="X50" s="33">
        <f>IF(Table_BDD[[#This Row],[Position]]="","",IF(Table_BDD[[#This Row],[T / P]]=0,200,IF(Table_BDD[[#This Row],[Type]]="buy",ROUND(Table_BDD[[#This Row],[T / P]]-Table_BDD[[#This Row],[Lvl Entrée]],1),ROUND(Table_BDD[[#This Row],[Lvl Entrée]]-Table_BDD[[#This Row],[T / P]],1))))</f>
        <v>20</v>
      </c>
      <c r="Y50" s="34">
        <f>IF(Table_BDD[[#This Row],[Position]]="","",IF(Table_BDD[[#This Row],[Ecart du SL]]&gt;0,ROUND(ABS(Table_BDD[[#This Row],[Ecart du TP]])/ABS(Table_BDD[[#This Row],[Ecart du SL]]),1),ROUND(ABS(Table_BDD[[#This Row],[Ecart du TP]])/10,1)))</f>
        <v>2.2000000000000002</v>
      </c>
      <c r="Z50" s="34">
        <f>IF(Table_BDD[[#This Row],[Position]]="","",IF(Table_BDD[[#This Row],[Ecart du SL]]&lt;0,IF(AND(Table_BDD[[#This Row],[Profit]]&gt;0,Table_BDD[[#This Row],[Type]]="sell"),ROUND((Table_BDD[[#This Row],[Lvl Entrée]]-Table_BDD[[#This Row],[Lvl Sortie]])/(10),1),IF(AND(Table_BDD[[#This Row],[Profit]]&gt;0,Table_BDD[[#This Row],[Type]]="buy"),ROUND((Table_BDD[[#This Row],[Lvl Sortie]]-Table_BDD[[#This Row],[Lvl Entrée]])/(10),1),)),IF(AND(Table_BDD[[#This Row],[Profit]]&gt;0,Table_BDD[[#This Row],[Type]]="sell"),ROUND((Table_BDD[[#This Row],[Lvl Entrée]]-Table_BDD[[#This Row],[Lvl Sortie]])/(Table_BDD[[#This Row],[S / L]]-Table_BDD[[#This Row],[Lvl Entrée]]),1),IF(AND(Table_BDD[[#This Row],[Profit]]&gt;0,Table_BDD[[#This Row],[Type]]="buy"),ROUND((Table_BDD[[#This Row],[Lvl Sortie]]-Table_BDD[[#This Row],[Lvl Entrée]])/(Table_BDD[[#This Row],[Lvl Entrée]]-Table_BDD[[#This Row],[S / L]]),1),ROUND(Table_BDD[[#This Row],[Points]]/10,1)))))</f>
        <v>-1.1000000000000001</v>
      </c>
      <c r="AA50" s="32">
        <f>IF(Table_BDD[[#This Row],[Position]]="",AA49,Table_BDD[[#This Row],[Equité après trade]]-Table_BDD[[#This Row],[Profit]]-Table_BDD[[#This Row],[Echange]])</f>
        <v>1013.6800000000001</v>
      </c>
      <c r="AB50" s="149">
        <f>$B$1+SUM($L$4:M50)</f>
        <v>1008.58</v>
      </c>
      <c r="AC50" s="150">
        <f>IF(Table_BDD[[#This Row],[Position]]="","",_xlfn.MINIFS(Table_BDD[Horodatage ouverture],Table_BDD[Date],Table_BDD[Date]))</f>
        <v>43867.646678240744</v>
      </c>
      <c r="AD50" s="149">
        <f>VLOOKUP(_xlfn.MINIFS(Table_BDD[Horodatage ouverture],Table_BDD[Date],Table_BDD[Date]),Table_BDD[[Horodatage ouverture]:[Heure derniere valeur]],AA$2)</f>
        <v>1017.63</v>
      </c>
      <c r="AE50" s="149">
        <f>IF(VLOOKUP(_xlfn.MINIFS(Table_BDD[Horodatage ouverture],Table_BDD[Date],Table_BDD[Date]),Table_BDD[[Horodatage ouverture]:[Heure derniere valeur]],AA$2)=Table_BDD[[#This Row],[Equité avant trade]],VLOOKUP(_xlfn.MINIFS(Table_BDD[Horodatage ouverture],Table_BDD[Date],Table_BDD[Date]),Table_BDD[[Horodatage ouverture]:[Heure derniere valeur]],AA$2),0)</f>
        <v>0</v>
      </c>
      <c r="AF50" s="150">
        <f>IF(Table_BDD[[#This Row],[Position]]="","",_xlfn.MAXIFS(Table_BDD[Horodatage ouverture],Table_BDD[Date],Table_BDD[Date]))</f>
        <v>43867.880486111113</v>
      </c>
      <c r="AG50" s="32">
        <f>VLOOKUP(_xlfn.MAXIFS(Table_BDD[Horodatage cloture],Table_BDD[Date],Table_BDD[Date]),Table_BDD[[Horodatage ouverture]:[Heure derniere valeur]],AB$2)</f>
        <v>1032.94</v>
      </c>
      <c r="AH50" s="32">
        <f>IF(VLOOKUP(_xlfn.MAXIFS(Table_BDD[Horodatage cloture],Table_BDD[Date],Table_BDD[Date]),Table_BDD[[Horodatage ouverture]:[Heure derniere valeur]],AB$2)=Table_BDD[[#This Row],[Equité après trade]],VLOOKUP(_xlfn.MAXIFS(Table_BDD[Horodatage cloture],Table_BDD[Date],Table_BDD[Date]),Table_BDD[[Horodatage ouverture]:[Heure derniere valeur]],AB$2),0)</f>
        <v>0</v>
      </c>
      <c r="AI50" s="32" t="e">
        <f>IF(Table_BDD[[#This Row],[Valeur fin de journée unique]]=0,#N/A,Table_BDD[[#This Row],[Valeur fin de journée unique]])</f>
        <v>#N/A</v>
      </c>
      <c r="AJ50" s="35">
        <f>IF(Table_BDD[[#This Row],[Position]]="","",(Table_BDD[[#This Row],[Equité après trade]]-Table_BDD[[#This Row],[Equité avant trade]])/Table_BDD[[#This Row],[Equité avant trade]])</f>
        <v>-5.0311735458922167E-3</v>
      </c>
      <c r="AK50" s="35" t="str">
        <f>IFERROR(((INDEX(Table_BDD[[Trade n°]:[Valeur fin de journée unique]],Table_BDD[[#This Row],[Nb de trade du jour]]+Table_BDD[[#This Row],[Trade n°]]-1,21))-Table_BDD[[#This Row],[Valeur début de journée unique]])/Table_BDD[[#This Row],[Valeur début de journée unique]],"")</f>
        <v/>
      </c>
      <c r="AL50" s="32">
        <f>IF(Table_BDD[[#This Row],[Position]]="","",MAX(Table_BDD[[#This Row],[Cumul équité]],AL49))</f>
        <v>1019.44</v>
      </c>
      <c r="AM50" s="32">
        <f>IF(Table_BDD[[#This Row],[Position]]="","",MIN(Table_BDD[[#This Row],[Cumul équité]],AL49))</f>
        <v>1008.58</v>
      </c>
      <c r="AN50" s="97">
        <f>IF(Table_BDD[[#This Row],[Sommet Drawdown]]&gt;AL49,"",Table_BDD[[#This Row],[Creux Drawdown]]/Table_BDD[[#This Row],[Sommet Drawdown]]-1)</f>
        <v>-1.0652907478615692E-2</v>
      </c>
      <c r="AO50" s="36">
        <f>IF(Table_BDD[[#This Row],[Position]]="","",IF(Table_BDD[[#This Row],[Type]]="buy",ROUND(Table_BDD[[#This Row],[Lvl Sortie]]-Table_BDD[[#This Row],[Lvl Entrée]],1),ROUND(Table_BDD[[#This Row],[Lvl Entrée]]-Table_BDD[[#This Row],[Lvl Sortie]],1)))</f>
        <v>-11.2</v>
      </c>
      <c r="AP50" s="36" t="str">
        <f>IF(Table_BDD[[#This Row],[Points]]&gt;0,Table_BDD[[#This Row],[Points]],"")</f>
        <v/>
      </c>
      <c r="AQ50" s="36">
        <f>IF(Table_BDD[[#This Row],[Points]]&lt;0,Table_BDD[[#This Row],[Points]],"")</f>
        <v>-11.2</v>
      </c>
      <c r="AR50" s="36">
        <f>SUM($AO$4:AO50)</f>
        <v>18.800000000000015</v>
      </c>
      <c r="AS50" s="68">
        <f>IF(Table_BDD[[#This Row],[Position]]="","",IF(Table_BDD[[#This Row],[Conformité]]="Conforme",1,0))</f>
        <v>0</v>
      </c>
      <c r="AT50" s="68">
        <f>IF(Table_BDD[[#This Row],[Position]]="","",IF(Table_BDD[[#This Row],[Conformité]]="Non conforme",1,0))</f>
        <v>1</v>
      </c>
      <c r="AU50" s="37" t="s">
        <v>17</v>
      </c>
      <c r="AV50" s="37"/>
      <c r="AW50" s="37"/>
      <c r="AX50" s="37">
        <v>0</v>
      </c>
      <c r="AY50" s="37">
        <v>0</v>
      </c>
      <c r="AZ50" s="37">
        <v>0</v>
      </c>
      <c r="BA50" s="37" t="str">
        <f>IF(Table_BDD[[#This Row],[Position]]="","Sans objet",IF(AND(Table_BDD[[#This Row],[Type]]="sell",Table_BDD[[#This Row],[S / L]]&lt;Table_BDD[[#This Row],[Lvl Entrée]],Table_BDD[[#This Row],[Lvl Sortie]]&lt;=Table_BDD[[#This Row],[S / L]]+2,Table_BDD[[#This Row],[Lvl Sortie]]&lt;Table_BDD[[#This Row],[Lvl Entrée]]-19),"Oui",IF(AND(Table_BDD[[#This Row],[Type]]="buy",Table_BDD[[#This Row],[S / L]]&gt;Table_BDD[[#This Row],[Lvl Entrée]],Table_BDD[[#This Row],[Lvl Sortie]]&gt;=Table_BDD[[#This Row],[S / L]]-2,Table_BDD[[#This Row],[S / L]]&gt;Table_BDD[[#This Row],[Lvl Entrée]]+19),"Oui","Non")))</f>
        <v>Non</v>
      </c>
      <c r="BB50" s="37" t="str">
        <f>IF(Table_BDD[[#This Row],[Position]]="","Sans objet",IF(AND(Table_BDD[[#This Row],[Type]]="sell",Table_BDD[[#This Row],[S / L]]&lt;Table_BDD[[#This Row],[Lvl Entrée]],Table_BDD[[#This Row],[Points]]&gt;=-1),"Oui",IF(AND(Table_BDD[[#This Row],[Type]]="sell",Table_BDD[[#This Row],[S / L]]&gt;Table_BDD[[#This Row],[Lvl Entrée]]),"Non",IF(AND(Table_BDD[[#This Row],[Type]]="buy",Table_BDD[[#This Row],[S / L]]&lt;Table_BDD[[#This Row],[Lvl Entrée]]),"Non",IF(AND(Table_BDD[[#This Row],[Type]]="buy",Table_BDD[[#This Row],[S / L]]&gt;Table_BDD[[#This Row],[Lvl Entrée]],Table_BDD[[#This Row],[Points]]&gt;=-1),"Oui")))))</f>
        <v>Non</v>
      </c>
      <c r="BC50" s="37" t="str">
        <f>IF(Table_BDD[[#This Row],[Position]]="","Sans objet",IF(Table_BDD[[#This Row],[T / P]]="","Non",IF(AND(Table_BDD[[#This Row],[Type]]="sell",Table_BDD[[#This Row],[Lvl Sortie]]&lt;=Table_BDD[[#This Row],[T / P]]),"Oui",IF(AND(Table_BDD[[#This Row],[Type]]="buy",Table_BDD[[#This Row],[Lvl Sortie]]&gt;=Table_BDD[[#This Row],[T / P]]),"Oui","Non"))))</f>
        <v>Non</v>
      </c>
      <c r="BD50" s="91">
        <f t="array" ref="BD50">IFERROR(INDEX(downloadFile[#All],MATCH(Table_BDD[[#This Row],[Date]],downloadFile[[#All],[Column1]],0),2),BD49)</f>
        <v>1.1003000000000001</v>
      </c>
      <c r="BE50" s="89">
        <f>IF(Table_BDD[[#This Row],[Position]]="","",IF(Table_BDD[[#This Row],[Symbole]]="UsaInd",(Table_BDD[[#This Row],[Volume]]*Table_BDD[[#This Row],[Lvl Entrée]])/(Table_BDD[[#This Row],[Equité avant trade]]*Table_BDD[[#This Row],[EUR/USD]]),IF(Table_BDD[[#This Row],[Symbole]]="Ger30",(Table_BDD[[#This Row],[Volume]]*Table_BDD[[#This Row],[Lvl Entrée]])/Table_BDD[[#This Row],[Equité avant trade]],)))</f>
        <v>13.164793384385813</v>
      </c>
      <c r="BF50" s="38">
        <f>IF(Table_BDD[[#This Row],[Position]]="","",IF(Table_BDD[[#This Row],[Conformité]]="Non conforme",0,(MROUND(3*((Table_BDD[[#This Row],[Conviction]]+Table_BDD[[#This Row],[Timing]]+Table_BDD[[#This Row],[Sortie]])+1)-2,1))))</f>
        <v>0</v>
      </c>
      <c r="BG50" s="38" t="str">
        <f>IF(Table_BDD[[#This Row],[Position]]="","",IF(Table_BDD[[#This Row],[Points]]&lt;-5,"--",IF(AND(Table_BDD[[#This Row],[Points]]&gt;=-5,Table_BDD[[#This Row],[Points]]&lt;-1.5),"-",IF(AND(Table_BDD[[#This Row],[Points]]&gt;=-1.5,Table_BDD[[#This Row],[Points]]&lt;1.5),"0",IF(AND(Table_BDD[[#This Row],[Points]]&gt;=1.5,Table_BDD[[#This Row],[Points]]&lt;=70),"+",IF(Table_BDD[[#This Row],[Points]]&gt;70,"++"))))))</f>
        <v>--</v>
      </c>
      <c r="BH50" s="37" t="str">
        <f>IF(Table_BDD[[#This Row],[Position]]="","",IF(Table_BDD[[#This Row],[Points]]&gt;0,"Gagnant",IF(Table_BDD[[#This Row],[Points]]=0,"Flat","Perdant")))</f>
        <v>Perdant</v>
      </c>
      <c r="BI50" s="40">
        <f>IF(Table_BDD[[#This Row],[Position]]="","",IF(Table_BDD[[#This Row],[Résultat]]="Gagnant",1,0))</f>
        <v>0</v>
      </c>
      <c r="BJ50" s="40">
        <f>IF(Table_BDD[[#This Row],[Position]]="","",IF(Table_BDD[[#This Row],[Résultat]]="Perdant",1,0))</f>
        <v>1</v>
      </c>
      <c r="BK50" s="40"/>
      <c r="BL50" s="145">
        <f>IF(Table_BDD[[#This Row],[T / P]]="","",Table_BDD[[#This Row],[T / P]])</f>
        <v>29386.76</v>
      </c>
      <c r="BM50" s="147"/>
      <c r="BN50" s="147"/>
      <c r="BO50" s="147"/>
      <c r="BP50" s="147"/>
      <c r="BQ50" s="127"/>
    </row>
    <row r="51" spans="1:69" x14ac:dyDescent="0.2">
      <c r="A51" s="93">
        <v>43867.648865740739</v>
      </c>
      <c r="B51" s="94">
        <v>259554398</v>
      </c>
      <c r="C51" s="37" t="s">
        <v>8</v>
      </c>
      <c r="D51" s="37" t="s">
        <v>9</v>
      </c>
      <c r="E51" s="37">
        <v>0.5</v>
      </c>
      <c r="F51" s="95">
        <v>29344.880000000001</v>
      </c>
      <c r="G51" s="95">
        <v>29335.93</v>
      </c>
      <c r="H51" s="95">
        <v>29394.880000000001</v>
      </c>
      <c r="I51" s="28">
        <v>43867.65048611111</v>
      </c>
      <c r="J51" s="95">
        <v>29335.9</v>
      </c>
      <c r="K51" s="95">
        <v>0</v>
      </c>
      <c r="L51" s="95">
        <v>0</v>
      </c>
      <c r="M51" s="32">
        <v>-4.08</v>
      </c>
      <c r="N51" s="148">
        <f>IF(Table_BDD[[#This Row],[Position]]="","",ROW()-3)</f>
        <v>48</v>
      </c>
      <c r="O51" s="32">
        <f>SUM($L$4:M51)</f>
        <v>4.5000000000000107</v>
      </c>
      <c r="P51" s="32">
        <f>Table_BDD[[#This Row],[Equité avant trade]]+Table_BDD[[#This Row],[Profit]]+Table_BDD[[#This Row],[Echange]]</f>
        <v>1004.5</v>
      </c>
      <c r="Q51" s="52">
        <f>INT(Table_BDD[[#This Row],[Horodatage cloture]])</f>
        <v>43867</v>
      </c>
      <c r="R51" s="34">
        <f>WEEKNUM(Table_BDD[[#This Row],[Horodatage cloture]],2)</f>
        <v>6</v>
      </c>
      <c r="S51" s="61">
        <f>WEEKDAY(Table_BDD[[#This Row],[Horodatage cloture]])</f>
        <v>5</v>
      </c>
      <c r="T51" s="63">
        <f>HOUR(Table_BDD[[#This Row],[Horodatage cloture]])</f>
        <v>15</v>
      </c>
      <c r="U51" s="68">
        <f>IF(Table_BDD[[#This Row],[Position]]="","",IF(Table_BDD[[#This Row],[Valeur début de journée unique]]&lt;&gt;0,1,0))</f>
        <v>0</v>
      </c>
      <c r="V51" s="68" t="str">
        <f>IF(Table_BDD[[#This Row],[Nb de séance de trading]]=1,COUNTIF(Table_BDD[Date],Table_BDD[[#This Row],[Date]]),"")</f>
        <v/>
      </c>
      <c r="W51" s="33">
        <f>IF(Table_BDD[[#This Row],[Position]]="","",IF(Table_BDD[[#This Row],[Type]]="buy",ROUND(Table_BDD[[#This Row],[Lvl Entrée]]-Table_BDD[[#This Row],[S / L]],1),ROUND(Table_BDD[[#This Row],[S / L]]-Table_BDD[[#This Row],[Lvl Entrée]],1)))</f>
        <v>9</v>
      </c>
      <c r="X51" s="33">
        <f>IF(Table_BDD[[#This Row],[Position]]="","",IF(Table_BDD[[#This Row],[T / P]]=0,200,IF(Table_BDD[[#This Row],[Type]]="buy",ROUND(Table_BDD[[#This Row],[T / P]]-Table_BDD[[#This Row],[Lvl Entrée]],1),ROUND(Table_BDD[[#This Row],[Lvl Entrée]]-Table_BDD[[#This Row],[T / P]],1))))</f>
        <v>50</v>
      </c>
      <c r="Y51" s="34">
        <f>IF(Table_BDD[[#This Row],[Position]]="","",IF(Table_BDD[[#This Row],[Ecart du SL]]&gt;0,ROUND(ABS(Table_BDD[[#This Row],[Ecart du TP]])/ABS(Table_BDD[[#This Row],[Ecart du SL]]),1),ROUND(ABS(Table_BDD[[#This Row],[Ecart du TP]])/10,1)))</f>
        <v>5.6</v>
      </c>
      <c r="Z51" s="34">
        <f>IF(Table_BDD[[#This Row],[Position]]="","",IF(Table_BDD[[#This Row],[Ecart du SL]]&lt;0,IF(AND(Table_BDD[[#This Row],[Profit]]&gt;0,Table_BDD[[#This Row],[Type]]="sell"),ROUND((Table_BDD[[#This Row],[Lvl Entrée]]-Table_BDD[[#This Row],[Lvl Sortie]])/(10),1),IF(AND(Table_BDD[[#This Row],[Profit]]&gt;0,Table_BDD[[#This Row],[Type]]="buy"),ROUND((Table_BDD[[#This Row],[Lvl Sortie]]-Table_BDD[[#This Row],[Lvl Entrée]])/(10),1),)),IF(AND(Table_BDD[[#This Row],[Profit]]&gt;0,Table_BDD[[#This Row],[Type]]="sell"),ROUND((Table_BDD[[#This Row],[Lvl Entrée]]-Table_BDD[[#This Row],[Lvl Sortie]])/(Table_BDD[[#This Row],[S / L]]-Table_BDD[[#This Row],[Lvl Entrée]]),1),IF(AND(Table_BDD[[#This Row],[Profit]]&gt;0,Table_BDD[[#This Row],[Type]]="buy"),ROUND((Table_BDD[[#This Row],[Lvl Sortie]]-Table_BDD[[#This Row],[Lvl Entrée]])/(Table_BDD[[#This Row],[Lvl Entrée]]-Table_BDD[[#This Row],[S / L]]),1),ROUND(Table_BDD[[#This Row],[Points]]/10,1)))))</f>
        <v>-0.9</v>
      </c>
      <c r="AA51" s="32">
        <f>IF(Table_BDD[[#This Row],[Position]]="",AA50,Table_BDD[[#This Row],[Equité après trade]]-Table_BDD[[#This Row],[Profit]]-Table_BDD[[#This Row],[Echange]])</f>
        <v>1008.58</v>
      </c>
      <c r="AB51" s="149">
        <f>$B$1+SUM($L$4:M51)</f>
        <v>1004.5</v>
      </c>
      <c r="AC51" s="150">
        <f>IF(Table_BDD[[#This Row],[Position]]="","",_xlfn.MINIFS(Table_BDD[Horodatage ouverture],Table_BDD[Date],Table_BDD[Date]))</f>
        <v>43867.646678240744</v>
      </c>
      <c r="AD51" s="149">
        <f>VLOOKUP(_xlfn.MINIFS(Table_BDD[Horodatage ouverture],Table_BDD[Date],Table_BDD[Date]),Table_BDD[[Horodatage ouverture]:[Heure derniere valeur]],AA$2)</f>
        <v>1017.63</v>
      </c>
      <c r="AE51" s="149">
        <f>IF(VLOOKUP(_xlfn.MINIFS(Table_BDD[Horodatage ouverture],Table_BDD[Date],Table_BDD[Date]),Table_BDD[[Horodatage ouverture]:[Heure derniere valeur]],AA$2)=Table_BDD[[#This Row],[Equité avant trade]],VLOOKUP(_xlfn.MINIFS(Table_BDD[Horodatage ouverture],Table_BDD[Date],Table_BDD[Date]),Table_BDD[[Horodatage ouverture]:[Heure derniere valeur]],AA$2),0)</f>
        <v>0</v>
      </c>
      <c r="AF51" s="150">
        <f>IF(Table_BDD[[#This Row],[Position]]="","",_xlfn.MAXIFS(Table_BDD[Horodatage ouverture],Table_BDD[Date],Table_BDD[Date]))</f>
        <v>43867.880486111113</v>
      </c>
      <c r="AG51" s="32">
        <f>VLOOKUP(_xlfn.MAXIFS(Table_BDD[Horodatage cloture],Table_BDD[Date],Table_BDD[Date]),Table_BDD[[Horodatage ouverture]:[Heure derniere valeur]],AB$2)</f>
        <v>1032.94</v>
      </c>
      <c r="AH51" s="32">
        <f>IF(VLOOKUP(_xlfn.MAXIFS(Table_BDD[Horodatage cloture],Table_BDD[Date],Table_BDD[Date]),Table_BDD[[Horodatage ouverture]:[Heure derniere valeur]],AB$2)=Table_BDD[[#This Row],[Equité après trade]],VLOOKUP(_xlfn.MAXIFS(Table_BDD[Horodatage cloture],Table_BDD[Date],Table_BDD[Date]),Table_BDD[[Horodatage ouverture]:[Heure derniere valeur]],AB$2),0)</f>
        <v>0</v>
      </c>
      <c r="AI51" s="32" t="e">
        <f>IF(Table_BDD[[#This Row],[Valeur fin de journée unique]]=0,#N/A,Table_BDD[[#This Row],[Valeur fin de journée unique]])</f>
        <v>#N/A</v>
      </c>
      <c r="AJ51" s="35">
        <f>IF(Table_BDD[[#This Row],[Position]]="","",(Table_BDD[[#This Row],[Equité après trade]]-Table_BDD[[#This Row],[Equité avant trade]])/Table_BDD[[#This Row],[Equité avant trade]])</f>
        <v>-4.0452913997898439E-3</v>
      </c>
      <c r="AK51" s="35" t="str">
        <f>IFERROR(((INDEX(Table_BDD[[Trade n°]:[Valeur fin de journée unique]],Table_BDD[[#This Row],[Nb de trade du jour]]+Table_BDD[[#This Row],[Trade n°]]-1,21))-Table_BDD[[#This Row],[Valeur début de journée unique]])/Table_BDD[[#This Row],[Valeur début de journée unique]],"")</f>
        <v/>
      </c>
      <c r="AL51" s="32">
        <f>IF(Table_BDD[[#This Row],[Position]]="","",MAX(Table_BDD[[#This Row],[Cumul équité]],AL50))</f>
        <v>1019.44</v>
      </c>
      <c r="AM51" s="32">
        <f>IF(Table_BDD[[#This Row],[Position]]="","",MIN(Table_BDD[[#This Row],[Cumul équité]],AL50))</f>
        <v>1004.5</v>
      </c>
      <c r="AN51" s="97">
        <f>IF(Table_BDD[[#This Row],[Sommet Drawdown]]&gt;AL50,"",Table_BDD[[#This Row],[Creux Drawdown]]/Table_BDD[[#This Row],[Sommet Drawdown]]-1)</f>
        <v>-1.4655104763399596E-2</v>
      </c>
      <c r="AO51" s="36">
        <f>IF(Table_BDD[[#This Row],[Position]]="","",IF(Table_BDD[[#This Row],[Type]]="buy",ROUND(Table_BDD[[#This Row],[Lvl Sortie]]-Table_BDD[[#This Row],[Lvl Entrée]],1),ROUND(Table_BDD[[#This Row],[Lvl Entrée]]-Table_BDD[[#This Row],[Lvl Sortie]],1)))</f>
        <v>-9</v>
      </c>
      <c r="AP51" s="36" t="str">
        <f>IF(Table_BDD[[#This Row],[Points]]&gt;0,Table_BDD[[#This Row],[Points]],"")</f>
        <v/>
      </c>
      <c r="AQ51" s="36">
        <f>IF(Table_BDD[[#This Row],[Points]]&lt;0,Table_BDD[[#This Row],[Points]],"")</f>
        <v>-9</v>
      </c>
      <c r="AR51" s="36">
        <f>SUM($AO$4:AO51)</f>
        <v>9.8000000000000149</v>
      </c>
      <c r="AS51" s="68">
        <f>IF(Table_BDD[[#This Row],[Position]]="","",IF(Table_BDD[[#This Row],[Conformité]]="Conforme",1,0))</f>
        <v>0</v>
      </c>
      <c r="AT51" s="68">
        <f>IF(Table_BDD[[#This Row],[Position]]="","",IF(Table_BDD[[#This Row],[Conformité]]="Non conforme",1,0))</f>
        <v>1</v>
      </c>
      <c r="AU51" s="37" t="s">
        <v>17</v>
      </c>
      <c r="AV51" s="37"/>
      <c r="AW51" s="37"/>
      <c r="AX51" s="37">
        <v>0</v>
      </c>
      <c r="AY51" s="37">
        <v>0</v>
      </c>
      <c r="AZ51" s="37">
        <v>0</v>
      </c>
      <c r="BA51" s="37" t="str">
        <f>IF(Table_BDD[[#This Row],[Position]]="","Sans objet",IF(AND(Table_BDD[[#This Row],[Type]]="sell",Table_BDD[[#This Row],[S / L]]&lt;Table_BDD[[#This Row],[Lvl Entrée]],Table_BDD[[#This Row],[Lvl Sortie]]&lt;=Table_BDD[[#This Row],[S / L]]+2,Table_BDD[[#This Row],[Lvl Sortie]]&lt;Table_BDD[[#This Row],[Lvl Entrée]]-19),"Oui",IF(AND(Table_BDD[[#This Row],[Type]]="buy",Table_BDD[[#This Row],[S / L]]&gt;Table_BDD[[#This Row],[Lvl Entrée]],Table_BDD[[#This Row],[Lvl Sortie]]&gt;=Table_BDD[[#This Row],[S / L]]-2,Table_BDD[[#This Row],[S / L]]&gt;Table_BDD[[#This Row],[Lvl Entrée]]+19),"Oui","Non")))</f>
        <v>Non</v>
      </c>
      <c r="BB51" s="37" t="str">
        <f>IF(Table_BDD[[#This Row],[Position]]="","Sans objet",IF(AND(Table_BDD[[#This Row],[Type]]="sell",Table_BDD[[#This Row],[S / L]]&lt;Table_BDD[[#This Row],[Lvl Entrée]],Table_BDD[[#This Row],[Points]]&gt;=-1),"Oui",IF(AND(Table_BDD[[#This Row],[Type]]="sell",Table_BDD[[#This Row],[S / L]]&gt;Table_BDD[[#This Row],[Lvl Entrée]]),"Non",IF(AND(Table_BDD[[#This Row],[Type]]="buy",Table_BDD[[#This Row],[S / L]]&lt;Table_BDD[[#This Row],[Lvl Entrée]]),"Non",IF(AND(Table_BDD[[#This Row],[Type]]="buy",Table_BDD[[#This Row],[S / L]]&gt;Table_BDD[[#This Row],[Lvl Entrée]],Table_BDD[[#This Row],[Points]]&gt;=-1),"Oui")))))</f>
        <v>Non</v>
      </c>
      <c r="BC51" s="37" t="str">
        <f>IF(Table_BDD[[#This Row],[Position]]="","Sans objet",IF(Table_BDD[[#This Row],[T / P]]="","Non",IF(AND(Table_BDD[[#This Row],[Type]]="sell",Table_BDD[[#This Row],[Lvl Sortie]]&lt;=Table_BDD[[#This Row],[T / P]]),"Oui",IF(AND(Table_BDD[[#This Row],[Type]]="buy",Table_BDD[[#This Row],[Lvl Sortie]]&gt;=Table_BDD[[#This Row],[T / P]]),"Oui","Non"))))</f>
        <v>Non</v>
      </c>
      <c r="BD51" s="91">
        <f t="array" ref="BD51">IFERROR(INDEX(downloadFile[#All],MATCH(Table_BDD[[#This Row],[Date]],downloadFile[[#All],[Column1]],0),2),BD50)</f>
        <v>1.1003000000000001</v>
      </c>
      <c r="BE51" s="89">
        <f>IF(Table_BDD[[#This Row],[Position]]="","",IF(Table_BDD[[#This Row],[Symbole]]="UsaInd",(Table_BDD[[#This Row],[Volume]]*Table_BDD[[#This Row],[Lvl Entrée]])/(Table_BDD[[#This Row],[Equité avant trade]]*Table_BDD[[#This Row],[EUR/USD]]),IF(Table_BDD[[#This Row],[Symbole]]="Ger30",(Table_BDD[[#This Row],[Volume]]*Table_BDD[[#This Row],[Lvl Entrée]])/Table_BDD[[#This Row],[Equité avant trade]],)))</f>
        <v>13.221504506331584</v>
      </c>
      <c r="BF51" s="38">
        <f>IF(Table_BDD[[#This Row],[Position]]="","",IF(Table_BDD[[#This Row],[Conformité]]="Non conforme",0,(MROUND(3*((Table_BDD[[#This Row],[Conviction]]+Table_BDD[[#This Row],[Timing]]+Table_BDD[[#This Row],[Sortie]])+1)-2,1))))</f>
        <v>0</v>
      </c>
      <c r="BG51" s="38" t="str">
        <f>IF(Table_BDD[[#This Row],[Position]]="","",IF(Table_BDD[[#This Row],[Points]]&lt;-5,"--",IF(AND(Table_BDD[[#This Row],[Points]]&gt;=-5,Table_BDD[[#This Row],[Points]]&lt;-1.5),"-",IF(AND(Table_BDD[[#This Row],[Points]]&gt;=-1.5,Table_BDD[[#This Row],[Points]]&lt;1.5),"0",IF(AND(Table_BDD[[#This Row],[Points]]&gt;=1.5,Table_BDD[[#This Row],[Points]]&lt;=70),"+",IF(Table_BDD[[#This Row],[Points]]&gt;70,"++"))))))</f>
        <v>--</v>
      </c>
      <c r="BH51" s="37" t="str">
        <f>IF(Table_BDD[[#This Row],[Position]]="","",IF(Table_BDD[[#This Row],[Points]]&gt;0,"Gagnant",IF(Table_BDD[[#This Row],[Points]]=0,"Flat","Perdant")))</f>
        <v>Perdant</v>
      </c>
      <c r="BI51" s="40">
        <f>IF(Table_BDD[[#This Row],[Position]]="","",IF(Table_BDD[[#This Row],[Résultat]]="Gagnant",1,0))</f>
        <v>0</v>
      </c>
      <c r="BJ51" s="40">
        <f>IF(Table_BDD[[#This Row],[Position]]="","",IF(Table_BDD[[#This Row],[Résultat]]="Perdant",1,0))</f>
        <v>1</v>
      </c>
      <c r="BK51" s="40"/>
      <c r="BL51" s="145">
        <f>IF(Table_BDD[[#This Row],[T / P]]="","",Table_BDD[[#This Row],[T / P]])</f>
        <v>29394.880000000001</v>
      </c>
      <c r="BM51" s="147"/>
      <c r="BN51" s="147"/>
      <c r="BO51" s="147"/>
      <c r="BP51" s="147"/>
      <c r="BQ51" s="127"/>
    </row>
    <row r="52" spans="1:69" x14ac:dyDescent="0.2">
      <c r="A52" s="93">
        <v>43867.651053240741</v>
      </c>
      <c r="B52" s="94">
        <v>259555448</v>
      </c>
      <c r="C52" s="37" t="s">
        <v>8</v>
      </c>
      <c r="D52" s="37" t="s">
        <v>9</v>
      </c>
      <c r="E52" s="37">
        <v>0.5</v>
      </c>
      <c r="F52" s="95">
        <v>29316.63</v>
      </c>
      <c r="G52" s="95">
        <v>29306.74</v>
      </c>
      <c r="H52" s="95">
        <v>29396.74</v>
      </c>
      <c r="I52" s="28">
        <v>43867.652858796297</v>
      </c>
      <c r="J52" s="95">
        <v>29306.61</v>
      </c>
      <c r="K52" s="95">
        <v>0</v>
      </c>
      <c r="L52" s="95">
        <v>0</v>
      </c>
      <c r="M52" s="32">
        <v>-4.5599999999999996</v>
      </c>
      <c r="N52" s="148">
        <f>IF(Table_BDD[[#This Row],[Position]]="","",ROW()-3)</f>
        <v>49</v>
      </c>
      <c r="O52" s="32">
        <f>SUM($L$4:M52)</f>
        <v>-5.9999999999988951E-2</v>
      </c>
      <c r="P52" s="32">
        <f>Table_BDD[[#This Row],[Equité avant trade]]+Table_BDD[[#This Row],[Profit]]+Table_BDD[[#This Row],[Echange]]</f>
        <v>999.94</v>
      </c>
      <c r="Q52" s="52">
        <f>INT(Table_BDD[[#This Row],[Horodatage cloture]])</f>
        <v>43867</v>
      </c>
      <c r="R52" s="34">
        <f>WEEKNUM(Table_BDD[[#This Row],[Horodatage cloture]],2)</f>
        <v>6</v>
      </c>
      <c r="S52" s="61">
        <f>WEEKDAY(Table_BDD[[#This Row],[Horodatage cloture]])</f>
        <v>5</v>
      </c>
      <c r="T52" s="63">
        <f>HOUR(Table_BDD[[#This Row],[Horodatage cloture]])</f>
        <v>15</v>
      </c>
      <c r="U52" s="68">
        <f>IF(Table_BDD[[#This Row],[Position]]="","",IF(Table_BDD[[#This Row],[Valeur début de journée unique]]&lt;&gt;0,1,0))</f>
        <v>0</v>
      </c>
      <c r="V52" s="68" t="str">
        <f>IF(Table_BDD[[#This Row],[Nb de séance de trading]]=1,COUNTIF(Table_BDD[Date],Table_BDD[[#This Row],[Date]]),"")</f>
        <v/>
      </c>
      <c r="W52" s="33">
        <f>IF(Table_BDD[[#This Row],[Position]]="","",IF(Table_BDD[[#This Row],[Type]]="buy",ROUND(Table_BDD[[#This Row],[Lvl Entrée]]-Table_BDD[[#This Row],[S / L]],1),ROUND(Table_BDD[[#This Row],[S / L]]-Table_BDD[[#This Row],[Lvl Entrée]],1)))</f>
        <v>9.9</v>
      </c>
      <c r="X52" s="33">
        <f>IF(Table_BDD[[#This Row],[Position]]="","",IF(Table_BDD[[#This Row],[T / P]]=0,200,IF(Table_BDD[[#This Row],[Type]]="buy",ROUND(Table_BDD[[#This Row],[T / P]]-Table_BDD[[#This Row],[Lvl Entrée]],1),ROUND(Table_BDD[[#This Row],[Lvl Entrée]]-Table_BDD[[#This Row],[T / P]],1))))</f>
        <v>80.099999999999994</v>
      </c>
      <c r="Y52" s="34">
        <f>IF(Table_BDD[[#This Row],[Position]]="","",IF(Table_BDD[[#This Row],[Ecart du SL]]&gt;0,ROUND(ABS(Table_BDD[[#This Row],[Ecart du TP]])/ABS(Table_BDD[[#This Row],[Ecart du SL]]),1),ROUND(ABS(Table_BDD[[#This Row],[Ecart du TP]])/10,1)))</f>
        <v>8.1</v>
      </c>
      <c r="Z52" s="34">
        <f>IF(Table_BDD[[#This Row],[Position]]="","",IF(Table_BDD[[#This Row],[Ecart du SL]]&lt;0,IF(AND(Table_BDD[[#This Row],[Profit]]&gt;0,Table_BDD[[#This Row],[Type]]="sell"),ROUND((Table_BDD[[#This Row],[Lvl Entrée]]-Table_BDD[[#This Row],[Lvl Sortie]])/(10),1),IF(AND(Table_BDD[[#This Row],[Profit]]&gt;0,Table_BDD[[#This Row],[Type]]="buy"),ROUND((Table_BDD[[#This Row],[Lvl Sortie]]-Table_BDD[[#This Row],[Lvl Entrée]])/(10),1),)),IF(AND(Table_BDD[[#This Row],[Profit]]&gt;0,Table_BDD[[#This Row],[Type]]="sell"),ROUND((Table_BDD[[#This Row],[Lvl Entrée]]-Table_BDD[[#This Row],[Lvl Sortie]])/(Table_BDD[[#This Row],[S / L]]-Table_BDD[[#This Row],[Lvl Entrée]]),1),IF(AND(Table_BDD[[#This Row],[Profit]]&gt;0,Table_BDD[[#This Row],[Type]]="buy"),ROUND((Table_BDD[[#This Row],[Lvl Sortie]]-Table_BDD[[#This Row],[Lvl Entrée]])/(Table_BDD[[#This Row],[Lvl Entrée]]-Table_BDD[[#This Row],[S / L]]),1),ROUND(Table_BDD[[#This Row],[Points]]/10,1)))))</f>
        <v>-1</v>
      </c>
      <c r="AA52" s="32">
        <f>IF(Table_BDD[[#This Row],[Position]]="",AA51,Table_BDD[[#This Row],[Equité après trade]]-Table_BDD[[#This Row],[Profit]]-Table_BDD[[#This Row],[Echange]])</f>
        <v>1004.5</v>
      </c>
      <c r="AB52" s="149">
        <f>$B$1+SUM($L$4:M52)</f>
        <v>999.94</v>
      </c>
      <c r="AC52" s="150">
        <f>IF(Table_BDD[[#This Row],[Position]]="","",_xlfn.MINIFS(Table_BDD[Horodatage ouverture],Table_BDD[Date],Table_BDD[Date]))</f>
        <v>43867.646678240744</v>
      </c>
      <c r="AD52" s="149">
        <f>VLOOKUP(_xlfn.MINIFS(Table_BDD[Horodatage ouverture],Table_BDD[Date],Table_BDD[Date]),Table_BDD[[Horodatage ouverture]:[Heure derniere valeur]],AA$2)</f>
        <v>1017.63</v>
      </c>
      <c r="AE52" s="149">
        <f>IF(VLOOKUP(_xlfn.MINIFS(Table_BDD[Horodatage ouverture],Table_BDD[Date],Table_BDD[Date]),Table_BDD[[Horodatage ouverture]:[Heure derniere valeur]],AA$2)=Table_BDD[[#This Row],[Equité avant trade]],VLOOKUP(_xlfn.MINIFS(Table_BDD[Horodatage ouverture],Table_BDD[Date],Table_BDD[Date]),Table_BDD[[Horodatage ouverture]:[Heure derniere valeur]],AA$2),0)</f>
        <v>0</v>
      </c>
      <c r="AF52" s="150">
        <f>IF(Table_BDD[[#This Row],[Position]]="","",_xlfn.MAXIFS(Table_BDD[Horodatage ouverture],Table_BDD[Date],Table_BDD[Date]))</f>
        <v>43867.880486111113</v>
      </c>
      <c r="AG52" s="32">
        <f>VLOOKUP(_xlfn.MAXIFS(Table_BDD[Horodatage cloture],Table_BDD[Date],Table_BDD[Date]),Table_BDD[[Horodatage ouverture]:[Heure derniere valeur]],AB$2)</f>
        <v>1032.94</v>
      </c>
      <c r="AH52" s="32">
        <f>IF(VLOOKUP(_xlfn.MAXIFS(Table_BDD[Horodatage cloture],Table_BDD[Date],Table_BDD[Date]),Table_BDD[[Horodatage ouverture]:[Heure derniere valeur]],AB$2)=Table_BDD[[#This Row],[Equité après trade]],VLOOKUP(_xlfn.MAXIFS(Table_BDD[Horodatage cloture],Table_BDD[Date],Table_BDD[Date]),Table_BDD[[Horodatage ouverture]:[Heure derniere valeur]],AB$2),0)</f>
        <v>0</v>
      </c>
      <c r="AI52" s="32" t="e">
        <f>IF(Table_BDD[[#This Row],[Valeur fin de journée unique]]=0,#N/A,Table_BDD[[#This Row],[Valeur fin de journée unique]])</f>
        <v>#N/A</v>
      </c>
      <c r="AJ52" s="35">
        <f>IF(Table_BDD[[#This Row],[Position]]="","",(Table_BDD[[#This Row],[Equité après trade]]-Table_BDD[[#This Row],[Equité avant trade]])/Table_BDD[[#This Row],[Equité avant trade]])</f>
        <v>-4.5395719263314543E-3</v>
      </c>
      <c r="AK52" s="35" t="str">
        <f>IFERROR(((INDEX(Table_BDD[[Trade n°]:[Valeur fin de journée unique]],Table_BDD[[#This Row],[Nb de trade du jour]]+Table_BDD[[#This Row],[Trade n°]]-1,21))-Table_BDD[[#This Row],[Valeur début de journée unique]])/Table_BDD[[#This Row],[Valeur début de journée unique]],"")</f>
        <v/>
      </c>
      <c r="AL52" s="32">
        <f>IF(Table_BDD[[#This Row],[Position]]="","",MAX(Table_BDD[[#This Row],[Cumul équité]],AL51))</f>
        <v>1019.44</v>
      </c>
      <c r="AM52" s="32">
        <f>IF(Table_BDD[[#This Row],[Position]]="","",MIN(Table_BDD[[#This Row],[Cumul équité]],AL51))</f>
        <v>999.94</v>
      </c>
      <c r="AN52" s="97">
        <f>IF(Table_BDD[[#This Row],[Sommet Drawdown]]&gt;AL51,"",Table_BDD[[#This Row],[Creux Drawdown]]/Table_BDD[[#This Row],[Sommet Drawdown]]-1)</f>
        <v>-1.9128148787569632E-2</v>
      </c>
      <c r="AO52" s="36">
        <f>IF(Table_BDD[[#This Row],[Position]]="","",IF(Table_BDD[[#This Row],[Type]]="buy",ROUND(Table_BDD[[#This Row],[Lvl Sortie]]-Table_BDD[[#This Row],[Lvl Entrée]],1),ROUND(Table_BDD[[#This Row],[Lvl Entrée]]-Table_BDD[[#This Row],[Lvl Sortie]],1)))</f>
        <v>-10</v>
      </c>
      <c r="AP52" s="36" t="str">
        <f>IF(Table_BDD[[#This Row],[Points]]&gt;0,Table_BDD[[#This Row],[Points]],"")</f>
        <v/>
      </c>
      <c r="AQ52" s="36">
        <f>IF(Table_BDD[[#This Row],[Points]]&lt;0,Table_BDD[[#This Row],[Points]],"")</f>
        <v>-10</v>
      </c>
      <c r="AR52" s="36">
        <f>SUM($AO$4:AO52)</f>
        <v>-0.19999999999998508</v>
      </c>
      <c r="AS52" s="68">
        <f>IF(Table_BDD[[#This Row],[Position]]="","",IF(Table_BDD[[#This Row],[Conformité]]="Conforme",1,0))</f>
        <v>0</v>
      </c>
      <c r="AT52" s="68">
        <f>IF(Table_BDD[[#This Row],[Position]]="","",IF(Table_BDD[[#This Row],[Conformité]]="Non conforme",1,0))</f>
        <v>1</v>
      </c>
      <c r="AU52" s="37" t="s">
        <v>17</v>
      </c>
      <c r="AV52" s="37"/>
      <c r="AW52" s="37"/>
      <c r="AX52" s="37">
        <v>0</v>
      </c>
      <c r="AY52" s="37">
        <v>0</v>
      </c>
      <c r="AZ52" s="37">
        <v>0</v>
      </c>
      <c r="BA52" s="37" t="str">
        <f>IF(Table_BDD[[#This Row],[Position]]="","Sans objet",IF(AND(Table_BDD[[#This Row],[Type]]="sell",Table_BDD[[#This Row],[S / L]]&lt;Table_BDD[[#This Row],[Lvl Entrée]],Table_BDD[[#This Row],[Lvl Sortie]]&lt;=Table_BDD[[#This Row],[S / L]]+2,Table_BDD[[#This Row],[Lvl Sortie]]&lt;Table_BDD[[#This Row],[Lvl Entrée]]-19),"Oui",IF(AND(Table_BDD[[#This Row],[Type]]="buy",Table_BDD[[#This Row],[S / L]]&gt;Table_BDD[[#This Row],[Lvl Entrée]],Table_BDD[[#This Row],[Lvl Sortie]]&gt;=Table_BDD[[#This Row],[S / L]]-2,Table_BDD[[#This Row],[S / L]]&gt;Table_BDD[[#This Row],[Lvl Entrée]]+19),"Oui","Non")))</f>
        <v>Non</v>
      </c>
      <c r="BB52" s="37" t="str">
        <f>IF(Table_BDD[[#This Row],[Position]]="","Sans objet",IF(AND(Table_BDD[[#This Row],[Type]]="sell",Table_BDD[[#This Row],[S / L]]&lt;Table_BDD[[#This Row],[Lvl Entrée]],Table_BDD[[#This Row],[Points]]&gt;=-1),"Oui",IF(AND(Table_BDD[[#This Row],[Type]]="sell",Table_BDD[[#This Row],[S / L]]&gt;Table_BDD[[#This Row],[Lvl Entrée]]),"Non",IF(AND(Table_BDD[[#This Row],[Type]]="buy",Table_BDD[[#This Row],[S / L]]&lt;Table_BDD[[#This Row],[Lvl Entrée]]),"Non",IF(AND(Table_BDD[[#This Row],[Type]]="buy",Table_BDD[[#This Row],[S / L]]&gt;Table_BDD[[#This Row],[Lvl Entrée]],Table_BDD[[#This Row],[Points]]&gt;=-1),"Oui")))))</f>
        <v>Non</v>
      </c>
      <c r="BC52" s="37" t="str">
        <f>IF(Table_BDD[[#This Row],[Position]]="","Sans objet",IF(Table_BDD[[#This Row],[T / P]]="","Non",IF(AND(Table_BDD[[#This Row],[Type]]="sell",Table_BDD[[#This Row],[Lvl Sortie]]&lt;=Table_BDD[[#This Row],[T / P]]),"Oui",IF(AND(Table_BDD[[#This Row],[Type]]="buy",Table_BDD[[#This Row],[Lvl Sortie]]&gt;=Table_BDD[[#This Row],[T / P]]),"Oui","Non"))))</f>
        <v>Non</v>
      </c>
      <c r="BD52" s="91">
        <f t="array" ref="BD52">IFERROR(INDEX(downloadFile[#All],MATCH(Table_BDD[[#This Row],[Date]],downloadFile[[#All],[Column1]],0),2),BD51)</f>
        <v>1.1003000000000001</v>
      </c>
      <c r="BE52" s="89">
        <f>IF(Table_BDD[[#This Row],[Position]]="","",IF(Table_BDD[[#This Row],[Symbole]]="UsaInd",(Table_BDD[[#This Row],[Volume]]*Table_BDD[[#This Row],[Lvl Entrée]])/(Table_BDD[[#This Row],[Equité avant trade]]*Table_BDD[[#This Row],[EUR/USD]]),IF(Table_BDD[[#This Row],[Symbole]]="Ger30",(Table_BDD[[#This Row],[Volume]]*Table_BDD[[#This Row],[Lvl Entrée]])/Table_BDD[[#This Row],[Equité avant trade]],)))</f>
        <v>13.262426686925107</v>
      </c>
      <c r="BF52" s="38">
        <f>IF(Table_BDD[[#This Row],[Position]]="","",IF(Table_BDD[[#This Row],[Conformité]]="Non conforme",0,(MROUND(3*((Table_BDD[[#This Row],[Conviction]]+Table_BDD[[#This Row],[Timing]]+Table_BDD[[#This Row],[Sortie]])+1)-2,1))))</f>
        <v>0</v>
      </c>
      <c r="BG52" s="38" t="str">
        <f>IF(Table_BDD[[#This Row],[Position]]="","",IF(Table_BDD[[#This Row],[Points]]&lt;-5,"--",IF(AND(Table_BDD[[#This Row],[Points]]&gt;=-5,Table_BDD[[#This Row],[Points]]&lt;-1.5),"-",IF(AND(Table_BDD[[#This Row],[Points]]&gt;=-1.5,Table_BDD[[#This Row],[Points]]&lt;1.5),"0",IF(AND(Table_BDD[[#This Row],[Points]]&gt;=1.5,Table_BDD[[#This Row],[Points]]&lt;=70),"+",IF(Table_BDD[[#This Row],[Points]]&gt;70,"++"))))))</f>
        <v>--</v>
      </c>
      <c r="BH52" s="37" t="str">
        <f>IF(Table_BDD[[#This Row],[Position]]="","",IF(Table_BDD[[#This Row],[Points]]&gt;0,"Gagnant",IF(Table_BDD[[#This Row],[Points]]=0,"Flat","Perdant")))</f>
        <v>Perdant</v>
      </c>
      <c r="BI52" s="40">
        <f>IF(Table_BDD[[#This Row],[Position]]="","",IF(Table_BDD[[#This Row],[Résultat]]="Gagnant",1,0))</f>
        <v>0</v>
      </c>
      <c r="BJ52" s="40">
        <f>IF(Table_BDD[[#This Row],[Position]]="","",IF(Table_BDD[[#This Row],[Résultat]]="Perdant",1,0))</f>
        <v>1</v>
      </c>
      <c r="BK52" s="40"/>
      <c r="BL52" s="145">
        <f>IF(Table_BDD[[#This Row],[T / P]]="","",Table_BDD[[#This Row],[T / P]])</f>
        <v>29396.74</v>
      </c>
      <c r="BM52" s="147"/>
      <c r="BN52" s="147"/>
      <c r="BO52" s="147"/>
      <c r="BP52" s="147"/>
      <c r="BQ52" s="127"/>
    </row>
    <row r="53" spans="1:69" x14ac:dyDescent="0.2">
      <c r="A53" s="93">
        <v>43867.653310185182</v>
      </c>
      <c r="B53" s="94">
        <v>259556066</v>
      </c>
      <c r="C53" s="37" t="s">
        <v>8</v>
      </c>
      <c r="D53" s="37" t="s">
        <v>9</v>
      </c>
      <c r="E53" s="37">
        <v>0.5</v>
      </c>
      <c r="F53" s="95">
        <v>29298.84</v>
      </c>
      <c r="G53" s="95">
        <v>29289.34</v>
      </c>
      <c r="H53" s="95">
        <v>29399.34</v>
      </c>
      <c r="I53" s="28">
        <v>43867.65351851852</v>
      </c>
      <c r="J53" s="95">
        <v>29288.89</v>
      </c>
      <c r="K53" s="95">
        <v>0</v>
      </c>
      <c r="L53" s="95">
        <v>0</v>
      </c>
      <c r="M53" s="32">
        <v>-4.53</v>
      </c>
      <c r="N53" s="148">
        <f>IF(Table_BDD[[#This Row],[Position]]="","",ROW()-3)</f>
        <v>50</v>
      </c>
      <c r="O53" s="32">
        <f>SUM($L$4:M53)</f>
        <v>-4.5899999999999892</v>
      </c>
      <c r="P53" s="32">
        <f>Table_BDD[[#This Row],[Equité avant trade]]+Table_BDD[[#This Row],[Profit]]+Table_BDD[[#This Row],[Echange]]</f>
        <v>995.41</v>
      </c>
      <c r="Q53" s="52">
        <f>INT(Table_BDD[[#This Row],[Horodatage cloture]])</f>
        <v>43867</v>
      </c>
      <c r="R53" s="34">
        <f>WEEKNUM(Table_BDD[[#This Row],[Horodatage cloture]],2)</f>
        <v>6</v>
      </c>
      <c r="S53" s="61">
        <f>WEEKDAY(Table_BDD[[#This Row],[Horodatage cloture]])</f>
        <v>5</v>
      </c>
      <c r="T53" s="63">
        <f>HOUR(Table_BDD[[#This Row],[Horodatage cloture]])</f>
        <v>15</v>
      </c>
      <c r="U53" s="68">
        <f>IF(Table_BDD[[#This Row],[Position]]="","",IF(Table_BDD[[#This Row],[Valeur début de journée unique]]&lt;&gt;0,1,0))</f>
        <v>0</v>
      </c>
      <c r="V53" s="68" t="str">
        <f>IF(Table_BDD[[#This Row],[Nb de séance de trading]]=1,COUNTIF(Table_BDD[Date],Table_BDD[[#This Row],[Date]]),"")</f>
        <v/>
      </c>
      <c r="W53" s="33">
        <f>IF(Table_BDD[[#This Row],[Position]]="","",IF(Table_BDD[[#This Row],[Type]]="buy",ROUND(Table_BDD[[#This Row],[Lvl Entrée]]-Table_BDD[[#This Row],[S / L]],1),ROUND(Table_BDD[[#This Row],[S / L]]-Table_BDD[[#This Row],[Lvl Entrée]],1)))</f>
        <v>9.5</v>
      </c>
      <c r="X53" s="33">
        <f>IF(Table_BDD[[#This Row],[Position]]="","",IF(Table_BDD[[#This Row],[T / P]]=0,200,IF(Table_BDD[[#This Row],[Type]]="buy",ROUND(Table_BDD[[#This Row],[T / P]]-Table_BDD[[#This Row],[Lvl Entrée]],1),ROUND(Table_BDD[[#This Row],[Lvl Entrée]]-Table_BDD[[#This Row],[T / P]],1))))</f>
        <v>100.5</v>
      </c>
      <c r="Y53" s="34">
        <f>IF(Table_BDD[[#This Row],[Position]]="","",IF(Table_BDD[[#This Row],[Ecart du SL]]&gt;0,ROUND(ABS(Table_BDD[[#This Row],[Ecart du TP]])/ABS(Table_BDD[[#This Row],[Ecart du SL]]),1),ROUND(ABS(Table_BDD[[#This Row],[Ecart du TP]])/10,1)))</f>
        <v>10.6</v>
      </c>
      <c r="Z53" s="34">
        <f>IF(Table_BDD[[#This Row],[Position]]="","",IF(Table_BDD[[#This Row],[Ecart du SL]]&lt;0,IF(AND(Table_BDD[[#This Row],[Profit]]&gt;0,Table_BDD[[#This Row],[Type]]="sell"),ROUND((Table_BDD[[#This Row],[Lvl Entrée]]-Table_BDD[[#This Row],[Lvl Sortie]])/(10),1),IF(AND(Table_BDD[[#This Row],[Profit]]&gt;0,Table_BDD[[#This Row],[Type]]="buy"),ROUND((Table_BDD[[#This Row],[Lvl Sortie]]-Table_BDD[[#This Row],[Lvl Entrée]])/(10),1),)),IF(AND(Table_BDD[[#This Row],[Profit]]&gt;0,Table_BDD[[#This Row],[Type]]="sell"),ROUND((Table_BDD[[#This Row],[Lvl Entrée]]-Table_BDD[[#This Row],[Lvl Sortie]])/(Table_BDD[[#This Row],[S / L]]-Table_BDD[[#This Row],[Lvl Entrée]]),1),IF(AND(Table_BDD[[#This Row],[Profit]]&gt;0,Table_BDD[[#This Row],[Type]]="buy"),ROUND((Table_BDD[[#This Row],[Lvl Sortie]]-Table_BDD[[#This Row],[Lvl Entrée]])/(Table_BDD[[#This Row],[Lvl Entrée]]-Table_BDD[[#This Row],[S / L]]),1),ROUND(Table_BDD[[#This Row],[Points]]/10,1)))))</f>
        <v>-1</v>
      </c>
      <c r="AA53" s="32">
        <f>IF(Table_BDD[[#This Row],[Position]]="",AA52,Table_BDD[[#This Row],[Equité après trade]]-Table_BDD[[#This Row],[Profit]]-Table_BDD[[#This Row],[Echange]])</f>
        <v>999.93999999999994</v>
      </c>
      <c r="AB53" s="149">
        <f>$B$1+SUM($L$4:M53)</f>
        <v>995.41</v>
      </c>
      <c r="AC53" s="150">
        <f>IF(Table_BDD[[#This Row],[Position]]="","",_xlfn.MINIFS(Table_BDD[Horodatage ouverture],Table_BDD[Date],Table_BDD[Date]))</f>
        <v>43867.646678240744</v>
      </c>
      <c r="AD53" s="149">
        <f>VLOOKUP(_xlfn.MINIFS(Table_BDD[Horodatage ouverture],Table_BDD[Date],Table_BDD[Date]),Table_BDD[[Horodatage ouverture]:[Heure derniere valeur]],AA$2)</f>
        <v>1017.63</v>
      </c>
      <c r="AE53" s="149">
        <f>IF(VLOOKUP(_xlfn.MINIFS(Table_BDD[Horodatage ouverture],Table_BDD[Date],Table_BDD[Date]),Table_BDD[[Horodatage ouverture]:[Heure derniere valeur]],AA$2)=Table_BDD[[#This Row],[Equité avant trade]],VLOOKUP(_xlfn.MINIFS(Table_BDD[Horodatage ouverture],Table_BDD[Date],Table_BDD[Date]),Table_BDD[[Horodatage ouverture]:[Heure derniere valeur]],AA$2),0)</f>
        <v>0</v>
      </c>
      <c r="AF53" s="150">
        <f>IF(Table_BDD[[#This Row],[Position]]="","",_xlfn.MAXIFS(Table_BDD[Horodatage ouverture],Table_BDD[Date],Table_BDD[Date]))</f>
        <v>43867.880486111113</v>
      </c>
      <c r="AG53" s="32">
        <f>VLOOKUP(_xlfn.MAXIFS(Table_BDD[Horodatage cloture],Table_BDD[Date],Table_BDD[Date]),Table_BDD[[Horodatage ouverture]:[Heure derniere valeur]],AB$2)</f>
        <v>1032.94</v>
      </c>
      <c r="AH53" s="32">
        <f>IF(VLOOKUP(_xlfn.MAXIFS(Table_BDD[Horodatage cloture],Table_BDD[Date],Table_BDD[Date]),Table_BDD[[Horodatage ouverture]:[Heure derniere valeur]],AB$2)=Table_BDD[[#This Row],[Equité après trade]],VLOOKUP(_xlfn.MAXIFS(Table_BDD[Horodatage cloture],Table_BDD[Date],Table_BDD[Date]),Table_BDD[[Horodatage ouverture]:[Heure derniere valeur]],AB$2),0)</f>
        <v>0</v>
      </c>
      <c r="AI53" s="32" t="e">
        <f>IF(Table_BDD[[#This Row],[Valeur fin de journée unique]]=0,#N/A,Table_BDD[[#This Row],[Valeur fin de journée unique]])</f>
        <v>#N/A</v>
      </c>
      <c r="AJ53" s="35">
        <f>IF(Table_BDD[[#This Row],[Position]]="","",(Table_BDD[[#This Row],[Equité après trade]]-Table_BDD[[#This Row],[Equité avant trade]])/Table_BDD[[#This Row],[Equité avant trade]])</f>
        <v>-4.5302718163089516E-3</v>
      </c>
      <c r="AK53" s="35" t="str">
        <f>IFERROR(((INDEX(Table_BDD[[Trade n°]:[Valeur fin de journée unique]],Table_BDD[[#This Row],[Nb de trade du jour]]+Table_BDD[[#This Row],[Trade n°]]-1,21))-Table_BDD[[#This Row],[Valeur début de journée unique]])/Table_BDD[[#This Row],[Valeur début de journée unique]],"")</f>
        <v/>
      </c>
      <c r="AL53" s="32">
        <f>IF(Table_BDD[[#This Row],[Position]]="","",MAX(Table_BDD[[#This Row],[Cumul équité]],AL52))</f>
        <v>1019.44</v>
      </c>
      <c r="AM53" s="32">
        <f>IF(Table_BDD[[#This Row],[Position]]="","",MIN(Table_BDD[[#This Row],[Cumul équité]],AL52))</f>
        <v>995.41</v>
      </c>
      <c r="AN53" s="97">
        <f>IF(Table_BDD[[#This Row],[Sommet Drawdown]]&gt;AL52,"",Table_BDD[[#This Row],[Creux Drawdown]]/Table_BDD[[#This Row],[Sommet Drawdown]]-1)</f>
        <v>-2.3571764890528257E-2</v>
      </c>
      <c r="AO53" s="36">
        <f>IF(Table_BDD[[#This Row],[Position]]="","",IF(Table_BDD[[#This Row],[Type]]="buy",ROUND(Table_BDD[[#This Row],[Lvl Sortie]]-Table_BDD[[#This Row],[Lvl Entrée]],1),ROUND(Table_BDD[[#This Row],[Lvl Entrée]]-Table_BDD[[#This Row],[Lvl Sortie]],1)))</f>
        <v>-10</v>
      </c>
      <c r="AP53" s="36" t="str">
        <f>IF(Table_BDD[[#This Row],[Points]]&gt;0,Table_BDD[[#This Row],[Points]],"")</f>
        <v/>
      </c>
      <c r="AQ53" s="36">
        <f>IF(Table_BDD[[#This Row],[Points]]&lt;0,Table_BDD[[#This Row],[Points]],"")</f>
        <v>-10</v>
      </c>
      <c r="AR53" s="36">
        <f>SUM($AO$4:AO53)</f>
        <v>-10.199999999999985</v>
      </c>
      <c r="AS53" s="68">
        <f>IF(Table_BDD[[#This Row],[Position]]="","",IF(Table_BDD[[#This Row],[Conformité]]="Conforme",1,0))</f>
        <v>0</v>
      </c>
      <c r="AT53" s="68">
        <f>IF(Table_BDD[[#This Row],[Position]]="","",IF(Table_BDD[[#This Row],[Conformité]]="Non conforme",1,0))</f>
        <v>1</v>
      </c>
      <c r="AU53" s="37" t="s">
        <v>17</v>
      </c>
      <c r="AV53" s="37"/>
      <c r="AW53" s="37"/>
      <c r="AX53" s="37">
        <v>0</v>
      </c>
      <c r="AY53" s="37">
        <v>0</v>
      </c>
      <c r="AZ53" s="37">
        <v>0</v>
      </c>
      <c r="BA53" s="37" t="str">
        <f>IF(Table_BDD[[#This Row],[Position]]="","Sans objet",IF(AND(Table_BDD[[#This Row],[Type]]="sell",Table_BDD[[#This Row],[S / L]]&lt;Table_BDD[[#This Row],[Lvl Entrée]],Table_BDD[[#This Row],[Lvl Sortie]]&lt;=Table_BDD[[#This Row],[S / L]]+2,Table_BDD[[#This Row],[Lvl Sortie]]&lt;Table_BDD[[#This Row],[Lvl Entrée]]-19),"Oui",IF(AND(Table_BDD[[#This Row],[Type]]="buy",Table_BDD[[#This Row],[S / L]]&gt;Table_BDD[[#This Row],[Lvl Entrée]],Table_BDD[[#This Row],[Lvl Sortie]]&gt;=Table_BDD[[#This Row],[S / L]]-2,Table_BDD[[#This Row],[S / L]]&gt;Table_BDD[[#This Row],[Lvl Entrée]]+19),"Oui","Non")))</f>
        <v>Non</v>
      </c>
      <c r="BB53" s="37" t="str">
        <f>IF(Table_BDD[[#This Row],[Position]]="","Sans objet",IF(AND(Table_BDD[[#This Row],[Type]]="sell",Table_BDD[[#This Row],[S / L]]&lt;Table_BDD[[#This Row],[Lvl Entrée]],Table_BDD[[#This Row],[Points]]&gt;=-1),"Oui",IF(AND(Table_BDD[[#This Row],[Type]]="sell",Table_BDD[[#This Row],[S / L]]&gt;Table_BDD[[#This Row],[Lvl Entrée]]),"Non",IF(AND(Table_BDD[[#This Row],[Type]]="buy",Table_BDD[[#This Row],[S / L]]&lt;Table_BDD[[#This Row],[Lvl Entrée]]),"Non",IF(AND(Table_BDD[[#This Row],[Type]]="buy",Table_BDD[[#This Row],[S / L]]&gt;Table_BDD[[#This Row],[Lvl Entrée]],Table_BDD[[#This Row],[Points]]&gt;=-1),"Oui")))))</f>
        <v>Non</v>
      </c>
      <c r="BC53" s="37" t="str">
        <f>IF(Table_BDD[[#This Row],[Position]]="","Sans objet",IF(Table_BDD[[#This Row],[T / P]]="","Non",IF(AND(Table_BDD[[#This Row],[Type]]="sell",Table_BDD[[#This Row],[Lvl Sortie]]&lt;=Table_BDD[[#This Row],[T / P]]),"Oui",IF(AND(Table_BDD[[#This Row],[Type]]="buy",Table_BDD[[#This Row],[Lvl Sortie]]&gt;=Table_BDD[[#This Row],[T / P]]),"Oui","Non"))))</f>
        <v>Non</v>
      </c>
      <c r="BD53" s="91">
        <f t="array" ref="BD53">IFERROR(INDEX(downloadFile[#All],MATCH(Table_BDD[[#This Row],[Date]],downloadFile[[#All],[Column1]],0),2),BD52)</f>
        <v>1.1003000000000001</v>
      </c>
      <c r="BE53" s="89">
        <f>IF(Table_BDD[[#This Row],[Position]]="","",IF(Table_BDD[[#This Row],[Symbole]]="UsaInd",(Table_BDD[[#This Row],[Volume]]*Table_BDD[[#This Row],[Lvl Entrée]])/(Table_BDD[[#This Row],[Equité avant trade]]*Table_BDD[[#This Row],[EUR/USD]]),IF(Table_BDD[[#This Row],[Symbole]]="Ger30",(Table_BDD[[#This Row],[Volume]]*Table_BDD[[#This Row],[Lvl Entrée]])/Table_BDD[[#This Row],[Equité avant trade]],)))</f>
        <v>13.314822337490755</v>
      </c>
      <c r="BF53" s="38">
        <f>IF(Table_BDD[[#This Row],[Position]]="","",IF(Table_BDD[[#This Row],[Conformité]]="Non conforme",0,(MROUND(3*((Table_BDD[[#This Row],[Conviction]]+Table_BDD[[#This Row],[Timing]]+Table_BDD[[#This Row],[Sortie]])+1)-2,1))))</f>
        <v>0</v>
      </c>
      <c r="BG53" s="38" t="str">
        <f>IF(Table_BDD[[#This Row],[Position]]="","",IF(Table_BDD[[#This Row],[Points]]&lt;-5,"--",IF(AND(Table_BDD[[#This Row],[Points]]&gt;=-5,Table_BDD[[#This Row],[Points]]&lt;-1.5),"-",IF(AND(Table_BDD[[#This Row],[Points]]&gt;=-1.5,Table_BDD[[#This Row],[Points]]&lt;1.5),"0",IF(AND(Table_BDD[[#This Row],[Points]]&gt;=1.5,Table_BDD[[#This Row],[Points]]&lt;=70),"+",IF(Table_BDD[[#This Row],[Points]]&gt;70,"++"))))))</f>
        <v>--</v>
      </c>
      <c r="BH53" s="37" t="str">
        <f>IF(Table_BDD[[#This Row],[Position]]="","",IF(Table_BDD[[#This Row],[Points]]&gt;0,"Gagnant",IF(Table_BDD[[#This Row],[Points]]=0,"Flat","Perdant")))</f>
        <v>Perdant</v>
      </c>
      <c r="BI53" s="40">
        <f>IF(Table_BDD[[#This Row],[Position]]="","",IF(Table_BDD[[#This Row],[Résultat]]="Gagnant",1,0))</f>
        <v>0</v>
      </c>
      <c r="BJ53" s="40">
        <f>IF(Table_BDD[[#This Row],[Position]]="","",IF(Table_BDD[[#This Row],[Résultat]]="Perdant",1,0))</f>
        <v>1</v>
      </c>
      <c r="BK53" s="40"/>
      <c r="BL53" s="145">
        <f>IF(Table_BDD[[#This Row],[T / P]]="","",Table_BDD[[#This Row],[T / P]])</f>
        <v>29399.34</v>
      </c>
      <c r="BM53" s="147"/>
      <c r="BN53" s="147"/>
      <c r="BO53" s="147"/>
      <c r="BP53" s="147"/>
      <c r="BQ53" s="127"/>
    </row>
    <row r="54" spans="1:69" x14ac:dyDescent="0.2">
      <c r="A54" s="93">
        <v>43867.654166666667</v>
      </c>
      <c r="B54" s="94">
        <v>259555713</v>
      </c>
      <c r="C54" s="37" t="s">
        <v>8</v>
      </c>
      <c r="D54" s="37" t="s">
        <v>9</v>
      </c>
      <c r="E54" s="37">
        <v>0.5</v>
      </c>
      <c r="F54" s="95">
        <v>29279.83</v>
      </c>
      <c r="G54" s="95">
        <v>29270.720000000001</v>
      </c>
      <c r="H54" s="95">
        <v>29430.720000000001</v>
      </c>
      <c r="I54" s="28">
        <v>43867.657905092594</v>
      </c>
      <c r="J54" s="95">
        <v>29270.65</v>
      </c>
      <c r="K54" s="95">
        <v>0</v>
      </c>
      <c r="L54" s="95">
        <v>0</v>
      </c>
      <c r="M54" s="32">
        <v>-4.17</v>
      </c>
      <c r="N54" s="148">
        <f>IF(Table_BDD[[#This Row],[Position]]="","",ROW()-3)</f>
        <v>51</v>
      </c>
      <c r="O54" s="32">
        <f>SUM($L$4:M54)</f>
        <v>-8.7599999999999891</v>
      </c>
      <c r="P54" s="32">
        <f>Table_BDD[[#This Row],[Equité avant trade]]+Table_BDD[[#This Row],[Profit]]+Table_BDD[[#This Row],[Echange]]</f>
        <v>991.24</v>
      </c>
      <c r="Q54" s="52">
        <f>INT(Table_BDD[[#This Row],[Horodatage cloture]])</f>
        <v>43867</v>
      </c>
      <c r="R54" s="34">
        <f>WEEKNUM(Table_BDD[[#This Row],[Horodatage cloture]],2)</f>
        <v>6</v>
      </c>
      <c r="S54" s="61">
        <f>WEEKDAY(Table_BDD[[#This Row],[Horodatage cloture]])</f>
        <v>5</v>
      </c>
      <c r="T54" s="63">
        <f>HOUR(Table_BDD[[#This Row],[Horodatage cloture]])</f>
        <v>15</v>
      </c>
      <c r="U54" s="68">
        <f>IF(Table_BDD[[#This Row],[Position]]="","",IF(Table_BDD[[#This Row],[Valeur début de journée unique]]&lt;&gt;0,1,0))</f>
        <v>0</v>
      </c>
      <c r="V54" s="68" t="str">
        <f>IF(Table_BDD[[#This Row],[Nb de séance de trading]]=1,COUNTIF(Table_BDD[Date],Table_BDD[[#This Row],[Date]]),"")</f>
        <v/>
      </c>
      <c r="W54" s="33">
        <f>IF(Table_BDD[[#This Row],[Position]]="","",IF(Table_BDD[[#This Row],[Type]]="buy",ROUND(Table_BDD[[#This Row],[Lvl Entrée]]-Table_BDD[[#This Row],[S / L]],1),ROUND(Table_BDD[[#This Row],[S / L]]-Table_BDD[[#This Row],[Lvl Entrée]],1)))</f>
        <v>9.1</v>
      </c>
      <c r="X54" s="33">
        <f>IF(Table_BDD[[#This Row],[Position]]="","",IF(Table_BDD[[#This Row],[T / P]]=0,200,IF(Table_BDD[[#This Row],[Type]]="buy",ROUND(Table_BDD[[#This Row],[T / P]]-Table_BDD[[#This Row],[Lvl Entrée]],1),ROUND(Table_BDD[[#This Row],[Lvl Entrée]]-Table_BDD[[#This Row],[T / P]],1))))</f>
        <v>150.9</v>
      </c>
      <c r="Y54" s="34">
        <f>IF(Table_BDD[[#This Row],[Position]]="","",IF(Table_BDD[[#This Row],[Ecart du SL]]&gt;0,ROUND(ABS(Table_BDD[[#This Row],[Ecart du TP]])/ABS(Table_BDD[[#This Row],[Ecart du SL]]),1),ROUND(ABS(Table_BDD[[#This Row],[Ecart du TP]])/10,1)))</f>
        <v>16.600000000000001</v>
      </c>
      <c r="Z54" s="34">
        <f>IF(Table_BDD[[#This Row],[Position]]="","",IF(Table_BDD[[#This Row],[Ecart du SL]]&lt;0,IF(AND(Table_BDD[[#This Row],[Profit]]&gt;0,Table_BDD[[#This Row],[Type]]="sell"),ROUND((Table_BDD[[#This Row],[Lvl Entrée]]-Table_BDD[[#This Row],[Lvl Sortie]])/(10),1),IF(AND(Table_BDD[[#This Row],[Profit]]&gt;0,Table_BDD[[#This Row],[Type]]="buy"),ROUND((Table_BDD[[#This Row],[Lvl Sortie]]-Table_BDD[[#This Row],[Lvl Entrée]])/(10),1),)),IF(AND(Table_BDD[[#This Row],[Profit]]&gt;0,Table_BDD[[#This Row],[Type]]="sell"),ROUND((Table_BDD[[#This Row],[Lvl Entrée]]-Table_BDD[[#This Row],[Lvl Sortie]])/(Table_BDD[[#This Row],[S / L]]-Table_BDD[[#This Row],[Lvl Entrée]]),1),IF(AND(Table_BDD[[#This Row],[Profit]]&gt;0,Table_BDD[[#This Row],[Type]]="buy"),ROUND((Table_BDD[[#This Row],[Lvl Sortie]]-Table_BDD[[#This Row],[Lvl Entrée]])/(Table_BDD[[#This Row],[Lvl Entrée]]-Table_BDD[[#This Row],[S / L]]),1),ROUND(Table_BDD[[#This Row],[Points]]/10,1)))))</f>
        <v>-0.9</v>
      </c>
      <c r="AA54" s="32">
        <f>IF(Table_BDD[[#This Row],[Position]]="",AA53,Table_BDD[[#This Row],[Equité après trade]]-Table_BDD[[#This Row],[Profit]]-Table_BDD[[#This Row],[Echange]])</f>
        <v>995.41</v>
      </c>
      <c r="AB54" s="149">
        <f>$B$1+SUM($L$4:M54)</f>
        <v>991.24</v>
      </c>
      <c r="AC54" s="150">
        <f>IF(Table_BDD[[#This Row],[Position]]="","",_xlfn.MINIFS(Table_BDD[Horodatage ouverture],Table_BDD[Date],Table_BDD[Date]))</f>
        <v>43867.646678240744</v>
      </c>
      <c r="AD54" s="149">
        <f>VLOOKUP(_xlfn.MINIFS(Table_BDD[Horodatage ouverture],Table_BDD[Date],Table_BDD[Date]),Table_BDD[[Horodatage ouverture]:[Heure derniere valeur]],AA$2)</f>
        <v>1017.63</v>
      </c>
      <c r="AE54" s="149">
        <f>IF(VLOOKUP(_xlfn.MINIFS(Table_BDD[Horodatage ouverture],Table_BDD[Date],Table_BDD[Date]),Table_BDD[[Horodatage ouverture]:[Heure derniere valeur]],AA$2)=Table_BDD[[#This Row],[Equité avant trade]],VLOOKUP(_xlfn.MINIFS(Table_BDD[Horodatage ouverture],Table_BDD[Date],Table_BDD[Date]),Table_BDD[[Horodatage ouverture]:[Heure derniere valeur]],AA$2),0)</f>
        <v>0</v>
      </c>
      <c r="AF54" s="150">
        <f>IF(Table_BDD[[#This Row],[Position]]="","",_xlfn.MAXIFS(Table_BDD[Horodatage ouverture],Table_BDD[Date],Table_BDD[Date]))</f>
        <v>43867.880486111113</v>
      </c>
      <c r="AG54" s="32">
        <f>VLOOKUP(_xlfn.MAXIFS(Table_BDD[Horodatage cloture],Table_BDD[Date],Table_BDD[Date]),Table_BDD[[Horodatage ouverture]:[Heure derniere valeur]],AB$2)</f>
        <v>1032.94</v>
      </c>
      <c r="AH54" s="32">
        <f>IF(VLOOKUP(_xlfn.MAXIFS(Table_BDD[Horodatage cloture],Table_BDD[Date],Table_BDD[Date]),Table_BDD[[Horodatage ouverture]:[Heure derniere valeur]],AB$2)=Table_BDD[[#This Row],[Equité après trade]],VLOOKUP(_xlfn.MAXIFS(Table_BDD[Horodatage cloture],Table_BDD[Date],Table_BDD[Date]),Table_BDD[[Horodatage ouverture]:[Heure derniere valeur]],AB$2),0)</f>
        <v>0</v>
      </c>
      <c r="AI54" s="32" t="e">
        <f>IF(Table_BDD[[#This Row],[Valeur fin de journée unique]]=0,#N/A,Table_BDD[[#This Row],[Valeur fin de journée unique]])</f>
        <v>#N/A</v>
      </c>
      <c r="AJ54" s="35">
        <f>IF(Table_BDD[[#This Row],[Position]]="","",(Table_BDD[[#This Row],[Equité après trade]]-Table_BDD[[#This Row],[Equité avant trade]])/Table_BDD[[#This Row],[Equité avant trade]])</f>
        <v>-4.1892285590861651E-3</v>
      </c>
      <c r="AK54" s="35" t="str">
        <f>IFERROR(((INDEX(Table_BDD[[Trade n°]:[Valeur fin de journée unique]],Table_BDD[[#This Row],[Nb de trade du jour]]+Table_BDD[[#This Row],[Trade n°]]-1,21))-Table_BDD[[#This Row],[Valeur début de journée unique]])/Table_BDD[[#This Row],[Valeur début de journée unique]],"")</f>
        <v/>
      </c>
      <c r="AL54" s="32">
        <f>IF(Table_BDD[[#This Row],[Position]]="","",MAX(Table_BDD[[#This Row],[Cumul équité]],AL53))</f>
        <v>1019.44</v>
      </c>
      <c r="AM54" s="32">
        <f>IF(Table_BDD[[#This Row],[Position]]="","",MIN(Table_BDD[[#This Row],[Cumul équité]],AL53))</f>
        <v>991.24</v>
      </c>
      <c r="AN54" s="97">
        <f>IF(Table_BDD[[#This Row],[Sommet Drawdown]]&gt;AL53,"",Table_BDD[[#This Row],[Creux Drawdown]]/Table_BDD[[#This Row],[Sommet Drawdown]]-1)</f>
        <v>-2.766224593894695E-2</v>
      </c>
      <c r="AO54" s="36">
        <f>IF(Table_BDD[[#This Row],[Position]]="","",IF(Table_BDD[[#This Row],[Type]]="buy",ROUND(Table_BDD[[#This Row],[Lvl Sortie]]-Table_BDD[[#This Row],[Lvl Entrée]],1),ROUND(Table_BDD[[#This Row],[Lvl Entrée]]-Table_BDD[[#This Row],[Lvl Sortie]],1)))</f>
        <v>-9.1999999999999993</v>
      </c>
      <c r="AP54" s="36" t="str">
        <f>IF(Table_BDD[[#This Row],[Points]]&gt;0,Table_BDD[[#This Row],[Points]],"")</f>
        <v/>
      </c>
      <c r="AQ54" s="36">
        <f>IF(Table_BDD[[#This Row],[Points]]&lt;0,Table_BDD[[#This Row],[Points]],"")</f>
        <v>-9.1999999999999993</v>
      </c>
      <c r="AR54" s="36">
        <f>SUM($AO$4:AO54)</f>
        <v>-19.399999999999984</v>
      </c>
      <c r="AS54" s="68">
        <f>IF(Table_BDD[[#This Row],[Position]]="","",IF(Table_BDD[[#This Row],[Conformité]]="Conforme",1,0))</f>
        <v>0</v>
      </c>
      <c r="AT54" s="68">
        <f>IF(Table_BDD[[#This Row],[Position]]="","",IF(Table_BDD[[#This Row],[Conformité]]="Non conforme",1,0))</f>
        <v>1</v>
      </c>
      <c r="AU54" s="37" t="s">
        <v>17</v>
      </c>
      <c r="AV54" s="37"/>
      <c r="AW54" s="37"/>
      <c r="AX54" s="37">
        <v>0</v>
      </c>
      <c r="AY54" s="37">
        <v>0</v>
      </c>
      <c r="AZ54" s="37">
        <v>0</v>
      </c>
      <c r="BA54" s="37" t="str">
        <f>IF(Table_BDD[[#This Row],[Position]]="","Sans objet",IF(AND(Table_BDD[[#This Row],[Type]]="sell",Table_BDD[[#This Row],[S / L]]&lt;Table_BDD[[#This Row],[Lvl Entrée]],Table_BDD[[#This Row],[Lvl Sortie]]&lt;=Table_BDD[[#This Row],[S / L]]+2,Table_BDD[[#This Row],[Lvl Sortie]]&lt;Table_BDD[[#This Row],[Lvl Entrée]]-19),"Oui",IF(AND(Table_BDD[[#This Row],[Type]]="buy",Table_BDD[[#This Row],[S / L]]&gt;Table_BDD[[#This Row],[Lvl Entrée]],Table_BDD[[#This Row],[Lvl Sortie]]&gt;=Table_BDD[[#This Row],[S / L]]-2,Table_BDD[[#This Row],[S / L]]&gt;Table_BDD[[#This Row],[Lvl Entrée]]+19),"Oui","Non")))</f>
        <v>Non</v>
      </c>
      <c r="BB54" s="37" t="str">
        <f>IF(Table_BDD[[#This Row],[Position]]="","Sans objet",IF(AND(Table_BDD[[#This Row],[Type]]="sell",Table_BDD[[#This Row],[S / L]]&lt;Table_BDD[[#This Row],[Lvl Entrée]],Table_BDD[[#This Row],[Points]]&gt;=-1),"Oui",IF(AND(Table_BDD[[#This Row],[Type]]="sell",Table_BDD[[#This Row],[S / L]]&gt;Table_BDD[[#This Row],[Lvl Entrée]]),"Non",IF(AND(Table_BDD[[#This Row],[Type]]="buy",Table_BDD[[#This Row],[S / L]]&lt;Table_BDD[[#This Row],[Lvl Entrée]]),"Non",IF(AND(Table_BDD[[#This Row],[Type]]="buy",Table_BDD[[#This Row],[S / L]]&gt;Table_BDD[[#This Row],[Lvl Entrée]],Table_BDD[[#This Row],[Points]]&gt;=-1),"Oui")))))</f>
        <v>Non</v>
      </c>
      <c r="BC54" s="37" t="str">
        <f>IF(Table_BDD[[#This Row],[Position]]="","Sans objet",IF(Table_BDD[[#This Row],[T / P]]="","Non",IF(AND(Table_BDD[[#This Row],[Type]]="sell",Table_BDD[[#This Row],[Lvl Sortie]]&lt;=Table_BDD[[#This Row],[T / P]]),"Oui",IF(AND(Table_BDD[[#This Row],[Type]]="buy",Table_BDD[[#This Row],[Lvl Sortie]]&gt;=Table_BDD[[#This Row],[T / P]]),"Oui","Non"))))</f>
        <v>Non</v>
      </c>
      <c r="BD54" s="91">
        <f t="array" ref="BD54">IFERROR(INDEX(downloadFile[#All],MATCH(Table_BDD[[#This Row],[Date]],downloadFile[[#All],[Column1]],0),2),BD53)</f>
        <v>1.1003000000000001</v>
      </c>
      <c r="BE54" s="89">
        <f>IF(Table_BDD[[#This Row],[Position]]="","",IF(Table_BDD[[#This Row],[Symbole]]="UsaInd",(Table_BDD[[#This Row],[Volume]]*Table_BDD[[#This Row],[Lvl Entrée]])/(Table_BDD[[#This Row],[Equité avant trade]]*Table_BDD[[#This Row],[EUR/USD]]),IF(Table_BDD[[#This Row],[Symbole]]="Ger30",(Table_BDD[[#This Row],[Volume]]*Table_BDD[[#This Row],[Lvl Entrée]])/Table_BDD[[#This Row],[Equité avant trade]],)))</f>
        <v>13.366738223474378</v>
      </c>
      <c r="BF54" s="38">
        <f>IF(Table_BDD[[#This Row],[Position]]="","",IF(Table_BDD[[#This Row],[Conformité]]="Non conforme",0,(MROUND(3*((Table_BDD[[#This Row],[Conviction]]+Table_BDD[[#This Row],[Timing]]+Table_BDD[[#This Row],[Sortie]])+1)-2,1))))</f>
        <v>0</v>
      </c>
      <c r="BG54" s="38" t="str">
        <f>IF(Table_BDD[[#This Row],[Position]]="","",IF(Table_BDD[[#This Row],[Points]]&lt;-5,"--",IF(AND(Table_BDD[[#This Row],[Points]]&gt;=-5,Table_BDD[[#This Row],[Points]]&lt;-1.5),"-",IF(AND(Table_BDD[[#This Row],[Points]]&gt;=-1.5,Table_BDD[[#This Row],[Points]]&lt;1.5),"0",IF(AND(Table_BDD[[#This Row],[Points]]&gt;=1.5,Table_BDD[[#This Row],[Points]]&lt;=70),"+",IF(Table_BDD[[#This Row],[Points]]&gt;70,"++"))))))</f>
        <v>--</v>
      </c>
      <c r="BH54" s="37" t="str">
        <f>IF(Table_BDD[[#This Row],[Position]]="","",IF(Table_BDD[[#This Row],[Points]]&gt;0,"Gagnant",IF(Table_BDD[[#This Row],[Points]]=0,"Flat","Perdant")))</f>
        <v>Perdant</v>
      </c>
      <c r="BI54" s="40">
        <f>IF(Table_BDD[[#This Row],[Position]]="","",IF(Table_BDD[[#This Row],[Résultat]]="Gagnant",1,0))</f>
        <v>0</v>
      </c>
      <c r="BJ54" s="40">
        <f>IF(Table_BDD[[#This Row],[Position]]="","",IF(Table_BDD[[#This Row],[Résultat]]="Perdant",1,0))</f>
        <v>1</v>
      </c>
      <c r="BK54" s="40"/>
      <c r="BL54" s="145">
        <f>IF(Table_BDD[[#This Row],[T / P]]="","",Table_BDD[[#This Row],[T / P]])</f>
        <v>29430.720000000001</v>
      </c>
      <c r="BM54" s="147"/>
      <c r="BN54" s="147"/>
      <c r="BO54" s="147"/>
      <c r="BP54" s="147"/>
      <c r="BQ54" s="127"/>
    </row>
    <row r="55" spans="1:69" x14ac:dyDescent="0.2">
      <c r="A55" s="93">
        <v>43867.658009259256</v>
      </c>
      <c r="B55" s="94">
        <v>259557729</v>
      </c>
      <c r="C55" s="37" t="s">
        <v>8</v>
      </c>
      <c r="D55" s="37" t="s">
        <v>9</v>
      </c>
      <c r="E55" s="37">
        <v>0.5</v>
      </c>
      <c r="F55" s="95">
        <v>29275.75</v>
      </c>
      <c r="G55" s="95">
        <v>29265.75</v>
      </c>
      <c r="H55" s="95">
        <v>29425.75</v>
      </c>
      <c r="I55" s="28">
        <v>43867.65996527778</v>
      </c>
      <c r="J55" s="95">
        <v>29265.67</v>
      </c>
      <c r="K55" s="95">
        <v>0</v>
      </c>
      <c r="L55" s="95">
        <v>0</v>
      </c>
      <c r="M55" s="32">
        <v>-4.58</v>
      </c>
      <c r="N55" s="148">
        <f>IF(Table_BDD[[#This Row],[Position]]="","",ROW()-3)</f>
        <v>52</v>
      </c>
      <c r="O55" s="32">
        <f>SUM($L$4:M55)</f>
        <v>-13.339999999999989</v>
      </c>
      <c r="P55" s="32">
        <f>Table_BDD[[#This Row],[Equité avant trade]]+Table_BDD[[#This Row],[Profit]]+Table_BDD[[#This Row],[Echange]]</f>
        <v>986.66</v>
      </c>
      <c r="Q55" s="52">
        <f>INT(Table_BDD[[#This Row],[Horodatage cloture]])</f>
        <v>43867</v>
      </c>
      <c r="R55" s="34">
        <f>WEEKNUM(Table_BDD[[#This Row],[Horodatage cloture]],2)</f>
        <v>6</v>
      </c>
      <c r="S55" s="61">
        <f>WEEKDAY(Table_BDD[[#This Row],[Horodatage cloture]])</f>
        <v>5</v>
      </c>
      <c r="T55" s="63">
        <f>HOUR(Table_BDD[[#This Row],[Horodatage cloture]])</f>
        <v>15</v>
      </c>
      <c r="U55" s="68">
        <f>IF(Table_BDD[[#This Row],[Position]]="","",IF(Table_BDD[[#This Row],[Valeur début de journée unique]]&lt;&gt;0,1,0))</f>
        <v>0</v>
      </c>
      <c r="V55" s="68" t="str">
        <f>IF(Table_BDD[[#This Row],[Nb de séance de trading]]=1,COUNTIF(Table_BDD[Date],Table_BDD[[#This Row],[Date]]),"")</f>
        <v/>
      </c>
      <c r="W55" s="33">
        <f>IF(Table_BDD[[#This Row],[Position]]="","",IF(Table_BDD[[#This Row],[Type]]="buy",ROUND(Table_BDD[[#This Row],[Lvl Entrée]]-Table_BDD[[#This Row],[S / L]],1),ROUND(Table_BDD[[#This Row],[S / L]]-Table_BDD[[#This Row],[Lvl Entrée]],1)))</f>
        <v>10</v>
      </c>
      <c r="X55" s="33">
        <f>IF(Table_BDD[[#This Row],[Position]]="","",IF(Table_BDD[[#This Row],[T / P]]=0,200,IF(Table_BDD[[#This Row],[Type]]="buy",ROUND(Table_BDD[[#This Row],[T / P]]-Table_BDD[[#This Row],[Lvl Entrée]],1),ROUND(Table_BDD[[#This Row],[Lvl Entrée]]-Table_BDD[[#This Row],[T / P]],1))))</f>
        <v>150</v>
      </c>
      <c r="Y55" s="34">
        <f>IF(Table_BDD[[#This Row],[Position]]="","",IF(Table_BDD[[#This Row],[Ecart du SL]]&gt;0,ROUND(ABS(Table_BDD[[#This Row],[Ecart du TP]])/ABS(Table_BDD[[#This Row],[Ecart du SL]]),1),ROUND(ABS(Table_BDD[[#This Row],[Ecart du TP]])/10,1)))</f>
        <v>15</v>
      </c>
      <c r="Z55" s="34">
        <f>IF(Table_BDD[[#This Row],[Position]]="","",IF(Table_BDD[[#This Row],[Ecart du SL]]&lt;0,IF(AND(Table_BDD[[#This Row],[Profit]]&gt;0,Table_BDD[[#This Row],[Type]]="sell"),ROUND((Table_BDD[[#This Row],[Lvl Entrée]]-Table_BDD[[#This Row],[Lvl Sortie]])/(10),1),IF(AND(Table_BDD[[#This Row],[Profit]]&gt;0,Table_BDD[[#This Row],[Type]]="buy"),ROUND((Table_BDD[[#This Row],[Lvl Sortie]]-Table_BDD[[#This Row],[Lvl Entrée]])/(10),1),)),IF(AND(Table_BDD[[#This Row],[Profit]]&gt;0,Table_BDD[[#This Row],[Type]]="sell"),ROUND((Table_BDD[[#This Row],[Lvl Entrée]]-Table_BDD[[#This Row],[Lvl Sortie]])/(Table_BDD[[#This Row],[S / L]]-Table_BDD[[#This Row],[Lvl Entrée]]),1),IF(AND(Table_BDD[[#This Row],[Profit]]&gt;0,Table_BDD[[#This Row],[Type]]="buy"),ROUND((Table_BDD[[#This Row],[Lvl Sortie]]-Table_BDD[[#This Row],[Lvl Entrée]])/(Table_BDD[[#This Row],[Lvl Entrée]]-Table_BDD[[#This Row],[S / L]]),1),ROUND(Table_BDD[[#This Row],[Points]]/10,1)))))</f>
        <v>-1</v>
      </c>
      <c r="AA55" s="32">
        <f>IF(Table_BDD[[#This Row],[Position]]="",AA54,Table_BDD[[#This Row],[Equité après trade]]-Table_BDD[[#This Row],[Profit]]-Table_BDD[[#This Row],[Echange]])</f>
        <v>991.24</v>
      </c>
      <c r="AB55" s="149">
        <f>$B$1+SUM($L$4:M55)</f>
        <v>986.66</v>
      </c>
      <c r="AC55" s="150">
        <f>IF(Table_BDD[[#This Row],[Position]]="","",_xlfn.MINIFS(Table_BDD[Horodatage ouverture],Table_BDD[Date],Table_BDD[Date]))</f>
        <v>43867.646678240744</v>
      </c>
      <c r="AD55" s="149">
        <f>VLOOKUP(_xlfn.MINIFS(Table_BDD[Horodatage ouverture],Table_BDD[Date],Table_BDD[Date]),Table_BDD[[Horodatage ouverture]:[Heure derniere valeur]],AA$2)</f>
        <v>1017.63</v>
      </c>
      <c r="AE55" s="149">
        <f>IF(VLOOKUP(_xlfn.MINIFS(Table_BDD[Horodatage ouverture],Table_BDD[Date],Table_BDD[Date]),Table_BDD[[Horodatage ouverture]:[Heure derniere valeur]],AA$2)=Table_BDD[[#This Row],[Equité avant trade]],VLOOKUP(_xlfn.MINIFS(Table_BDD[Horodatage ouverture],Table_BDD[Date],Table_BDD[Date]),Table_BDD[[Horodatage ouverture]:[Heure derniere valeur]],AA$2),0)</f>
        <v>0</v>
      </c>
      <c r="AF55" s="150">
        <f>IF(Table_BDD[[#This Row],[Position]]="","",_xlfn.MAXIFS(Table_BDD[Horodatage ouverture],Table_BDD[Date],Table_BDD[Date]))</f>
        <v>43867.880486111113</v>
      </c>
      <c r="AG55" s="32">
        <f>VLOOKUP(_xlfn.MAXIFS(Table_BDD[Horodatage cloture],Table_BDD[Date],Table_BDD[Date]),Table_BDD[[Horodatage ouverture]:[Heure derniere valeur]],AB$2)</f>
        <v>1032.94</v>
      </c>
      <c r="AH55" s="32">
        <f>IF(VLOOKUP(_xlfn.MAXIFS(Table_BDD[Horodatage cloture],Table_BDD[Date],Table_BDD[Date]),Table_BDD[[Horodatage ouverture]:[Heure derniere valeur]],AB$2)=Table_BDD[[#This Row],[Equité après trade]],VLOOKUP(_xlfn.MAXIFS(Table_BDD[Horodatage cloture],Table_BDD[Date],Table_BDD[Date]),Table_BDD[[Horodatage ouverture]:[Heure derniere valeur]],AB$2),0)</f>
        <v>0</v>
      </c>
      <c r="AI55" s="32" t="e">
        <f>IF(Table_BDD[[#This Row],[Valeur fin de journée unique]]=0,#N/A,Table_BDD[[#This Row],[Valeur fin de journée unique]])</f>
        <v>#N/A</v>
      </c>
      <c r="AJ55" s="35">
        <f>IF(Table_BDD[[#This Row],[Position]]="","",(Table_BDD[[#This Row],[Equité après trade]]-Table_BDD[[#This Row],[Equité avant trade]])/Table_BDD[[#This Row],[Equité avant trade]])</f>
        <v>-4.6204753641903486E-3</v>
      </c>
      <c r="AK55" s="35" t="str">
        <f>IFERROR(((INDEX(Table_BDD[[Trade n°]:[Valeur fin de journée unique]],Table_BDD[[#This Row],[Nb de trade du jour]]+Table_BDD[[#This Row],[Trade n°]]-1,21))-Table_BDD[[#This Row],[Valeur début de journée unique]])/Table_BDD[[#This Row],[Valeur début de journée unique]],"")</f>
        <v/>
      </c>
      <c r="AL55" s="32">
        <f>IF(Table_BDD[[#This Row],[Position]]="","",MAX(Table_BDD[[#This Row],[Cumul équité]],AL54))</f>
        <v>1019.44</v>
      </c>
      <c r="AM55" s="32">
        <f>IF(Table_BDD[[#This Row],[Position]]="","",MIN(Table_BDD[[#This Row],[Cumul équité]],AL54))</f>
        <v>986.66</v>
      </c>
      <c r="AN55" s="97">
        <f>IF(Table_BDD[[#This Row],[Sommet Drawdown]]&gt;AL54,"",Table_BDD[[#This Row],[Creux Drawdown]]/Table_BDD[[#This Row],[Sommet Drawdown]]-1)</f>
        <v>-3.2154908577258223E-2</v>
      </c>
      <c r="AO55" s="36">
        <f>IF(Table_BDD[[#This Row],[Position]]="","",IF(Table_BDD[[#This Row],[Type]]="buy",ROUND(Table_BDD[[#This Row],[Lvl Sortie]]-Table_BDD[[#This Row],[Lvl Entrée]],1),ROUND(Table_BDD[[#This Row],[Lvl Entrée]]-Table_BDD[[#This Row],[Lvl Sortie]],1)))</f>
        <v>-10.1</v>
      </c>
      <c r="AP55" s="36" t="str">
        <f>IF(Table_BDD[[#This Row],[Points]]&gt;0,Table_BDD[[#This Row],[Points]],"")</f>
        <v/>
      </c>
      <c r="AQ55" s="36">
        <f>IF(Table_BDD[[#This Row],[Points]]&lt;0,Table_BDD[[#This Row],[Points]],"")</f>
        <v>-10.1</v>
      </c>
      <c r="AR55" s="36">
        <f>SUM($AO$4:AO55)</f>
        <v>-29.499999999999986</v>
      </c>
      <c r="AS55" s="68">
        <f>IF(Table_BDD[[#This Row],[Position]]="","",IF(Table_BDD[[#This Row],[Conformité]]="Conforme",1,0))</f>
        <v>0</v>
      </c>
      <c r="AT55" s="68">
        <f>IF(Table_BDD[[#This Row],[Position]]="","",IF(Table_BDD[[#This Row],[Conformité]]="Non conforme",1,0))</f>
        <v>1</v>
      </c>
      <c r="AU55" s="37" t="s">
        <v>17</v>
      </c>
      <c r="AV55" s="37"/>
      <c r="AW55" s="37"/>
      <c r="AX55" s="37">
        <v>0</v>
      </c>
      <c r="AY55" s="37">
        <v>0</v>
      </c>
      <c r="AZ55" s="37">
        <v>0</v>
      </c>
      <c r="BA55" s="37" t="str">
        <f>IF(Table_BDD[[#This Row],[Position]]="","Sans objet",IF(AND(Table_BDD[[#This Row],[Type]]="sell",Table_BDD[[#This Row],[S / L]]&lt;Table_BDD[[#This Row],[Lvl Entrée]],Table_BDD[[#This Row],[Lvl Sortie]]&lt;=Table_BDD[[#This Row],[S / L]]+2,Table_BDD[[#This Row],[Lvl Sortie]]&lt;Table_BDD[[#This Row],[Lvl Entrée]]-19),"Oui",IF(AND(Table_BDD[[#This Row],[Type]]="buy",Table_BDD[[#This Row],[S / L]]&gt;Table_BDD[[#This Row],[Lvl Entrée]],Table_BDD[[#This Row],[Lvl Sortie]]&gt;=Table_BDD[[#This Row],[S / L]]-2,Table_BDD[[#This Row],[S / L]]&gt;Table_BDD[[#This Row],[Lvl Entrée]]+19),"Oui","Non")))</f>
        <v>Non</v>
      </c>
      <c r="BB55" s="37" t="str">
        <f>IF(Table_BDD[[#This Row],[Position]]="","Sans objet",IF(AND(Table_BDD[[#This Row],[Type]]="sell",Table_BDD[[#This Row],[S / L]]&lt;Table_BDD[[#This Row],[Lvl Entrée]],Table_BDD[[#This Row],[Points]]&gt;=-1),"Oui",IF(AND(Table_BDD[[#This Row],[Type]]="sell",Table_BDD[[#This Row],[S / L]]&gt;Table_BDD[[#This Row],[Lvl Entrée]]),"Non",IF(AND(Table_BDD[[#This Row],[Type]]="buy",Table_BDD[[#This Row],[S / L]]&lt;Table_BDD[[#This Row],[Lvl Entrée]]),"Non",IF(AND(Table_BDD[[#This Row],[Type]]="buy",Table_BDD[[#This Row],[S / L]]&gt;Table_BDD[[#This Row],[Lvl Entrée]],Table_BDD[[#This Row],[Points]]&gt;=-1),"Oui")))))</f>
        <v>Non</v>
      </c>
      <c r="BC55" s="37" t="str">
        <f>IF(Table_BDD[[#This Row],[Position]]="","Sans objet",IF(Table_BDD[[#This Row],[T / P]]="","Non",IF(AND(Table_BDD[[#This Row],[Type]]="sell",Table_BDD[[#This Row],[Lvl Sortie]]&lt;=Table_BDD[[#This Row],[T / P]]),"Oui",IF(AND(Table_BDD[[#This Row],[Type]]="buy",Table_BDD[[#This Row],[Lvl Sortie]]&gt;=Table_BDD[[#This Row],[T / P]]),"Oui","Non"))))</f>
        <v>Non</v>
      </c>
      <c r="BD55" s="91">
        <f t="array" ref="BD55">IFERROR(INDEX(downloadFile[#All],MATCH(Table_BDD[[#This Row],[Date]],downloadFile[[#All],[Column1]],0),2),BD54)</f>
        <v>1.1003000000000001</v>
      </c>
      <c r="BE55" s="89">
        <f>IF(Table_BDD[[#This Row],[Position]]="","",IF(Table_BDD[[#This Row],[Symbole]]="UsaInd",(Table_BDD[[#This Row],[Volume]]*Table_BDD[[#This Row],[Lvl Entrée]])/(Table_BDD[[#This Row],[Equité avant trade]]*Table_BDD[[#This Row],[EUR/USD]]),IF(Table_BDD[[#This Row],[Symbole]]="Ger30",(Table_BDD[[#This Row],[Volume]]*Table_BDD[[#This Row],[Lvl Entrée]])/Table_BDD[[#This Row],[Equité avant trade]],)))</f>
        <v>13.421099688492497</v>
      </c>
      <c r="BF55" s="38">
        <f>IF(Table_BDD[[#This Row],[Position]]="","",IF(Table_BDD[[#This Row],[Conformité]]="Non conforme",0,(MROUND(3*((Table_BDD[[#This Row],[Conviction]]+Table_BDD[[#This Row],[Timing]]+Table_BDD[[#This Row],[Sortie]])+1)-2,1))))</f>
        <v>0</v>
      </c>
      <c r="BG55" s="38" t="str">
        <f>IF(Table_BDD[[#This Row],[Position]]="","",IF(Table_BDD[[#This Row],[Points]]&lt;-5,"--",IF(AND(Table_BDD[[#This Row],[Points]]&gt;=-5,Table_BDD[[#This Row],[Points]]&lt;-1.5),"-",IF(AND(Table_BDD[[#This Row],[Points]]&gt;=-1.5,Table_BDD[[#This Row],[Points]]&lt;1.5),"0",IF(AND(Table_BDD[[#This Row],[Points]]&gt;=1.5,Table_BDD[[#This Row],[Points]]&lt;=70),"+",IF(Table_BDD[[#This Row],[Points]]&gt;70,"++"))))))</f>
        <v>--</v>
      </c>
      <c r="BH55" s="37" t="str">
        <f>IF(Table_BDD[[#This Row],[Position]]="","",IF(Table_BDD[[#This Row],[Points]]&gt;0,"Gagnant",IF(Table_BDD[[#This Row],[Points]]=0,"Flat","Perdant")))</f>
        <v>Perdant</v>
      </c>
      <c r="BI55" s="40">
        <f>IF(Table_BDD[[#This Row],[Position]]="","",IF(Table_BDD[[#This Row],[Résultat]]="Gagnant",1,0))</f>
        <v>0</v>
      </c>
      <c r="BJ55" s="40">
        <f>IF(Table_BDD[[#This Row],[Position]]="","",IF(Table_BDD[[#This Row],[Résultat]]="Perdant",1,0))</f>
        <v>1</v>
      </c>
      <c r="BK55" s="40"/>
      <c r="BL55" s="145">
        <f>IF(Table_BDD[[#This Row],[T / P]]="","",Table_BDD[[#This Row],[T / P]])</f>
        <v>29425.75</v>
      </c>
      <c r="BM55" s="147"/>
      <c r="BN55" s="147"/>
      <c r="BO55" s="147"/>
      <c r="BP55" s="147"/>
      <c r="BQ55" s="127"/>
    </row>
    <row r="56" spans="1:69" x14ac:dyDescent="0.2">
      <c r="A56" s="93">
        <v>43867.66</v>
      </c>
      <c r="B56" s="94">
        <v>259556802</v>
      </c>
      <c r="C56" s="37" t="s">
        <v>8</v>
      </c>
      <c r="D56" s="37" t="s">
        <v>9</v>
      </c>
      <c r="E56" s="37">
        <v>0.5</v>
      </c>
      <c r="F56" s="95">
        <v>29261.82</v>
      </c>
      <c r="G56" s="95">
        <v>29252.27</v>
      </c>
      <c r="H56" s="95">
        <v>29462.27</v>
      </c>
      <c r="I56" s="28">
        <v>43867.660370370373</v>
      </c>
      <c r="J56" s="95">
        <v>29251.75</v>
      </c>
      <c r="K56" s="95">
        <v>0</v>
      </c>
      <c r="L56" s="95">
        <v>0</v>
      </c>
      <c r="M56" s="32">
        <v>-4.58</v>
      </c>
      <c r="N56" s="148">
        <f>IF(Table_BDD[[#This Row],[Position]]="","",ROW()-3)</f>
        <v>53</v>
      </c>
      <c r="O56" s="32">
        <f>SUM($L$4:M56)</f>
        <v>-17.919999999999987</v>
      </c>
      <c r="P56" s="32">
        <f>Table_BDD[[#This Row],[Equité avant trade]]+Table_BDD[[#This Row],[Profit]]+Table_BDD[[#This Row],[Echange]]</f>
        <v>982.08</v>
      </c>
      <c r="Q56" s="52">
        <f>INT(Table_BDD[[#This Row],[Horodatage cloture]])</f>
        <v>43867</v>
      </c>
      <c r="R56" s="34">
        <f>WEEKNUM(Table_BDD[[#This Row],[Horodatage cloture]],2)</f>
        <v>6</v>
      </c>
      <c r="S56" s="61">
        <f>WEEKDAY(Table_BDD[[#This Row],[Horodatage cloture]])</f>
        <v>5</v>
      </c>
      <c r="T56" s="63">
        <f>HOUR(Table_BDD[[#This Row],[Horodatage cloture]])</f>
        <v>15</v>
      </c>
      <c r="U56" s="68">
        <f>IF(Table_BDD[[#This Row],[Position]]="","",IF(Table_BDD[[#This Row],[Valeur début de journée unique]]&lt;&gt;0,1,0))</f>
        <v>0</v>
      </c>
      <c r="V56" s="68" t="str">
        <f>IF(Table_BDD[[#This Row],[Nb de séance de trading]]=1,COUNTIF(Table_BDD[Date],Table_BDD[[#This Row],[Date]]),"")</f>
        <v/>
      </c>
      <c r="W56" s="33">
        <f>IF(Table_BDD[[#This Row],[Position]]="","",IF(Table_BDD[[#This Row],[Type]]="buy",ROUND(Table_BDD[[#This Row],[Lvl Entrée]]-Table_BDD[[#This Row],[S / L]],1),ROUND(Table_BDD[[#This Row],[S / L]]-Table_BDD[[#This Row],[Lvl Entrée]],1)))</f>
        <v>9.5</v>
      </c>
      <c r="X56" s="33">
        <f>IF(Table_BDD[[#This Row],[Position]]="","",IF(Table_BDD[[#This Row],[T / P]]=0,200,IF(Table_BDD[[#This Row],[Type]]="buy",ROUND(Table_BDD[[#This Row],[T / P]]-Table_BDD[[#This Row],[Lvl Entrée]],1),ROUND(Table_BDD[[#This Row],[Lvl Entrée]]-Table_BDD[[#This Row],[T / P]],1))))</f>
        <v>200.5</v>
      </c>
      <c r="Y56" s="34">
        <f>IF(Table_BDD[[#This Row],[Position]]="","",IF(Table_BDD[[#This Row],[Ecart du SL]]&gt;0,ROUND(ABS(Table_BDD[[#This Row],[Ecart du TP]])/ABS(Table_BDD[[#This Row],[Ecart du SL]]),1),ROUND(ABS(Table_BDD[[#This Row],[Ecart du TP]])/10,1)))</f>
        <v>21.1</v>
      </c>
      <c r="Z56" s="34">
        <f>IF(Table_BDD[[#This Row],[Position]]="","",IF(Table_BDD[[#This Row],[Ecart du SL]]&lt;0,IF(AND(Table_BDD[[#This Row],[Profit]]&gt;0,Table_BDD[[#This Row],[Type]]="sell"),ROUND((Table_BDD[[#This Row],[Lvl Entrée]]-Table_BDD[[#This Row],[Lvl Sortie]])/(10),1),IF(AND(Table_BDD[[#This Row],[Profit]]&gt;0,Table_BDD[[#This Row],[Type]]="buy"),ROUND((Table_BDD[[#This Row],[Lvl Sortie]]-Table_BDD[[#This Row],[Lvl Entrée]])/(10),1),)),IF(AND(Table_BDD[[#This Row],[Profit]]&gt;0,Table_BDD[[#This Row],[Type]]="sell"),ROUND((Table_BDD[[#This Row],[Lvl Entrée]]-Table_BDD[[#This Row],[Lvl Sortie]])/(Table_BDD[[#This Row],[S / L]]-Table_BDD[[#This Row],[Lvl Entrée]]),1),IF(AND(Table_BDD[[#This Row],[Profit]]&gt;0,Table_BDD[[#This Row],[Type]]="buy"),ROUND((Table_BDD[[#This Row],[Lvl Sortie]]-Table_BDD[[#This Row],[Lvl Entrée]])/(Table_BDD[[#This Row],[Lvl Entrée]]-Table_BDD[[#This Row],[S / L]]),1),ROUND(Table_BDD[[#This Row],[Points]]/10,1)))))</f>
        <v>-1</v>
      </c>
      <c r="AA56" s="32">
        <f>IF(Table_BDD[[#This Row],[Position]]="",AA55,Table_BDD[[#This Row],[Equité après trade]]-Table_BDD[[#This Row],[Profit]]-Table_BDD[[#This Row],[Echange]])</f>
        <v>986.66000000000008</v>
      </c>
      <c r="AB56" s="149">
        <f>$B$1+SUM($L$4:M56)</f>
        <v>982.08</v>
      </c>
      <c r="AC56" s="150">
        <f>IF(Table_BDD[[#This Row],[Position]]="","",_xlfn.MINIFS(Table_BDD[Horodatage ouverture],Table_BDD[Date],Table_BDD[Date]))</f>
        <v>43867.646678240744</v>
      </c>
      <c r="AD56" s="149">
        <f>VLOOKUP(_xlfn.MINIFS(Table_BDD[Horodatage ouverture],Table_BDD[Date],Table_BDD[Date]),Table_BDD[[Horodatage ouverture]:[Heure derniere valeur]],AA$2)</f>
        <v>1017.63</v>
      </c>
      <c r="AE56" s="149">
        <f>IF(VLOOKUP(_xlfn.MINIFS(Table_BDD[Horodatage ouverture],Table_BDD[Date],Table_BDD[Date]),Table_BDD[[Horodatage ouverture]:[Heure derniere valeur]],AA$2)=Table_BDD[[#This Row],[Equité avant trade]],VLOOKUP(_xlfn.MINIFS(Table_BDD[Horodatage ouverture],Table_BDD[Date],Table_BDD[Date]),Table_BDD[[Horodatage ouverture]:[Heure derniere valeur]],AA$2),0)</f>
        <v>0</v>
      </c>
      <c r="AF56" s="150">
        <f>IF(Table_BDD[[#This Row],[Position]]="","",_xlfn.MAXIFS(Table_BDD[Horodatage ouverture],Table_BDD[Date],Table_BDD[Date]))</f>
        <v>43867.880486111113</v>
      </c>
      <c r="AG56" s="32">
        <f>VLOOKUP(_xlfn.MAXIFS(Table_BDD[Horodatage cloture],Table_BDD[Date],Table_BDD[Date]),Table_BDD[[Horodatage ouverture]:[Heure derniere valeur]],AB$2)</f>
        <v>1032.94</v>
      </c>
      <c r="AH56" s="32">
        <f>IF(VLOOKUP(_xlfn.MAXIFS(Table_BDD[Horodatage cloture],Table_BDD[Date],Table_BDD[Date]),Table_BDD[[Horodatage ouverture]:[Heure derniere valeur]],AB$2)=Table_BDD[[#This Row],[Equité après trade]],VLOOKUP(_xlfn.MAXIFS(Table_BDD[Horodatage cloture],Table_BDD[Date],Table_BDD[Date]),Table_BDD[[Horodatage ouverture]:[Heure derniere valeur]],AB$2),0)</f>
        <v>0</v>
      </c>
      <c r="AI56" s="32" t="e">
        <f>IF(Table_BDD[[#This Row],[Valeur fin de journée unique]]=0,#N/A,Table_BDD[[#This Row],[Valeur fin de journée unique]])</f>
        <v>#N/A</v>
      </c>
      <c r="AJ56" s="35">
        <f>IF(Table_BDD[[#This Row],[Position]]="","",(Table_BDD[[#This Row],[Equité après trade]]-Table_BDD[[#This Row],[Equité avant trade]])/Table_BDD[[#This Row],[Equité avant trade]])</f>
        <v>-4.641923256238259E-3</v>
      </c>
      <c r="AK56" s="35" t="str">
        <f>IFERROR(((INDEX(Table_BDD[[Trade n°]:[Valeur fin de journée unique]],Table_BDD[[#This Row],[Nb de trade du jour]]+Table_BDD[[#This Row],[Trade n°]]-1,21))-Table_BDD[[#This Row],[Valeur début de journée unique]])/Table_BDD[[#This Row],[Valeur début de journée unique]],"")</f>
        <v/>
      </c>
      <c r="AL56" s="32">
        <f>IF(Table_BDD[[#This Row],[Position]]="","",MAX(Table_BDD[[#This Row],[Cumul équité]],AL55))</f>
        <v>1019.44</v>
      </c>
      <c r="AM56" s="32">
        <f>IF(Table_BDD[[#This Row],[Position]]="","",MIN(Table_BDD[[#This Row],[Cumul équité]],AL55))</f>
        <v>982.08</v>
      </c>
      <c r="AN56" s="97">
        <f>IF(Table_BDD[[#This Row],[Sommet Drawdown]]&gt;AL55,"",Table_BDD[[#This Row],[Creux Drawdown]]/Table_BDD[[#This Row],[Sommet Drawdown]]-1)</f>
        <v>-3.6647571215569386E-2</v>
      </c>
      <c r="AO56" s="36">
        <f>IF(Table_BDD[[#This Row],[Position]]="","",IF(Table_BDD[[#This Row],[Type]]="buy",ROUND(Table_BDD[[#This Row],[Lvl Sortie]]-Table_BDD[[#This Row],[Lvl Entrée]],1),ROUND(Table_BDD[[#This Row],[Lvl Entrée]]-Table_BDD[[#This Row],[Lvl Sortie]],1)))</f>
        <v>-10.1</v>
      </c>
      <c r="AP56" s="36" t="str">
        <f>IF(Table_BDD[[#This Row],[Points]]&gt;0,Table_BDD[[#This Row],[Points]],"")</f>
        <v/>
      </c>
      <c r="AQ56" s="36">
        <f>IF(Table_BDD[[#This Row],[Points]]&lt;0,Table_BDD[[#This Row],[Points]],"")</f>
        <v>-10.1</v>
      </c>
      <c r="AR56" s="36">
        <f>SUM($AO$4:AO56)</f>
        <v>-39.599999999999987</v>
      </c>
      <c r="AS56" s="68">
        <f>IF(Table_BDD[[#This Row],[Position]]="","",IF(Table_BDD[[#This Row],[Conformité]]="Conforme",1,0))</f>
        <v>0</v>
      </c>
      <c r="AT56" s="68">
        <f>IF(Table_BDD[[#This Row],[Position]]="","",IF(Table_BDD[[#This Row],[Conformité]]="Non conforme",1,0))</f>
        <v>1</v>
      </c>
      <c r="AU56" s="37" t="s">
        <v>17</v>
      </c>
      <c r="AV56" s="37"/>
      <c r="AW56" s="37"/>
      <c r="AX56" s="37">
        <v>0</v>
      </c>
      <c r="AY56" s="37">
        <v>0</v>
      </c>
      <c r="AZ56" s="37">
        <v>0</v>
      </c>
      <c r="BA56" s="37" t="str">
        <f>IF(Table_BDD[[#This Row],[Position]]="","Sans objet",IF(AND(Table_BDD[[#This Row],[Type]]="sell",Table_BDD[[#This Row],[S / L]]&lt;Table_BDD[[#This Row],[Lvl Entrée]],Table_BDD[[#This Row],[Lvl Sortie]]&lt;=Table_BDD[[#This Row],[S / L]]+2,Table_BDD[[#This Row],[Lvl Sortie]]&lt;Table_BDD[[#This Row],[Lvl Entrée]]-19),"Oui",IF(AND(Table_BDD[[#This Row],[Type]]="buy",Table_BDD[[#This Row],[S / L]]&gt;Table_BDD[[#This Row],[Lvl Entrée]],Table_BDD[[#This Row],[Lvl Sortie]]&gt;=Table_BDD[[#This Row],[S / L]]-2,Table_BDD[[#This Row],[S / L]]&gt;Table_BDD[[#This Row],[Lvl Entrée]]+19),"Oui","Non")))</f>
        <v>Non</v>
      </c>
      <c r="BB56" s="37" t="str">
        <f>IF(Table_BDD[[#This Row],[Position]]="","Sans objet",IF(AND(Table_BDD[[#This Row],[Type]]="sell",Table_BDD[[#This Row],[S / L]]&lt;Table_BDD[[#This Row],[Lvl Entrée]],Table_BDD[[#This Row],[Points]]&gt;=-1),"Oui",IF(AND(Table_BDD[[#This Row],[Type]]="sell",Table_BDD[[#This Row],[S / L]]&gt;Table_BDD[[#This Row],[Lvl Entrée]]),"Non",IF(AND(Table_BDD[[#This Row],[Type]]="buy",Table_BDD[[#This Row],[S / L]]&lt;Table_BDD[[#This Row],[Lvl Entrée]]),"Non",IF(AND(Table_BDD[[#This Row],[Type]]="buy",Table_BDD[[#This Row],[S / L]]&gt;Table_BDD[[#This Row],[Lvl Entrée]],Table_BDD[[#This Row],[Points]]&gt;=-1),"Oui")))))</f>
        <v>Non</v>
      </c>
      <c r="BC56" s="37" t="str">
        <f>IF(Table_BDD[[#This Row],[Position]]="","Sans objet",IF(Table_BDD[[#This Row],[T / P]]="","Non",IF(AND(Table_BDD[[#This Row],[Type]]="sell",Table_BDD[[#This Row],[Lvl Sortie]]&lt;=Table_BDD[[#This Row],[T / P]]),"Oui",IF(AND(Table_BDD[[#This Row],[Type]]="buy",Table_BDD[[#This Row],[Lvl Sortie]]&gt;=Table_BDD[[#This Row],[T / P]]),"Oui","Non"))))</f>
        <v>Non</v>
      </c>
      <c r="BD56" s="91">
        <f t="array" ref="BD56">IFERROR(INDEX(downloadFile[#All],MATCH(Table_BDD[[#This Row],[Date]],downloadFile[[#All],[Column1]],0),2),BD55)</f>
        <v>1.1003000000000001</v>
      </c>
      <c r="BE56" s="89">
        <f>IF(Table_BDD[[#This Row],[Position]]="","",IF(Table_BDD[[#This Row],[Symbole]]="UsaInd",(Table_BDD[[#This Row],[Volume]]*Table_BDD[[#This Row],[Lvl Entrée]])/(Table_BDD[[#This Row],[Equité avant trade]]*Table_BDD[[#This Row],[EUR/USD]]),IF(Table_BDD[[#This Row],[Symbole]]="Ger30",(Table_BDD[[#This Row],[Volume]]*Table_BDD[[#This Row],[Lvl Entrée]])/Table_BDD[[#This Row],[Equité avant trade]],)))</f>
        <v>13.476983726337497</v>
      </c>
      <c r="BF56" s="38">
        <f>IF(Table_BDD[[#This Row],[Position]]="","",IF(Table_BDD[[#This Row],[Conformité]]="Non conforme",0,(MROUND(3*((Table_BDD[[#This Row],[Conviction]]+Table_BDD[[#This Row],[Timing]]+Table_BDD[[#This Row],[Sortie]])+1)-2,1))))</f>
        <v>0</v>
      </c>
      <c r="BG56" s="38" t="str">
        <f>IF(Table_BDD[[#This Row],[Position]]="","",IF(Table_BDD[[#This Row],[Points]]&lt;-5,"--",IF(AND(Table_BDD[[#This Row],[Points]]&gt;=-5,Table_BDD[[#This Row],[Points]]&lt;-1.5),"-",IF(AND(Table_BDD[[#This Row],[Points]]&gt;=-1.5,Table_BDD[[#This Row],[Points]]&lt;1.5),"0",IF(AND(Table_BDD[[#This Row],[Points]]&gt;=1.5,Table_BDD[[#This Row],[Points]]&lt;=70),"+",IF(Table_BDD[[#This Row],[Points]]&gt;70,"++"))))))</f>
        <v>--</v>
      </c>
      <c r="BH56" s="37" t="str">
        <f>IF(Table_BDD[[#This Row],[Position]]="","",IF(Table_BDD[[#This Row],[Points]]&gt;0,"Gagnant",IF(Table_BDD[[#This Row],[Points]]=0,"Flat","Perdant")))</f>
        <v>Perdant</v>
      </c>
      <c r="BI56" s="40">
        <f>IF(Table_BDD[[#This Row],[Position]]="","",IF(Table_BDD[[#This Row],[Résultat]]="Gagnant",1,0))</f>
        <v>0</v>
      </c>
      <c r="BJ56" s="40">
        <f>IF(Table_BDD[[#This Row],[Position]]="","",IF(Table_BDD[[#This Row],[Résultat]]="Perdant",1,0))</f>
        <v>1</v>
      </c>
      <c r="BK56" s="40"/>
      <c r="BL56" s="145">
        <f>IF(Table_BDD[[#This Row],[T / P]]="","",Table_BDD[[#This Row],[T / P]])</f>
        <v>29462.27</v>
      </c>
      <c r="BM56" s="147"/>
      <c r="BN56" s="147"/>
      <c r="BO56" s="147"/>
      <c r="BP56" s="147"/>
      <c r="BQ56" s="127"/>
    </row>
    <row r="57" spans="1:69" x14ac:dyDescent="0.2">
      <c r="A57" s="93">
        <v>43867.660590277781</v>
      </c>
      <c r="B57" s="94">
        <v>259558246</v>
      </c>
      <c r="C57" s="37" t="s">
        <v>8</v>
      </c>
      <c r="D57" s="37" t="s">
        <v>9</v>
      </c>
      <c r="E57" s="37">
        <v>0.5</v>
      </c>
      <c r="F57" s="95">
        <v>29264.87</v>
      </c>
      <c r="G57" s="95">
        <v>29254.87</v>
      </c>
      <c r="H57" s="95"/>
      <c r="I57" s="28">
        <v>43867.660671296297</v>
      </c>
      <c r="J57" s="95">
        <v>29254.7</v>
      </c>
      <c r="K57" s="95">
        <v>0</v>
      </c>
      <c r="L57" s="95">
        <v>0</v>
      </c>
      <c r="M57" s="32">
        <v>-4.63</v>
      </c>
      <c r="N57" s="148">
        <f>IF(Table_BDD[[#This Row],[Position]]="","",ROW()-3)</f>
        <v>54</v>
      </c>
      <c r="O57" s="32">
        <f>SUM($L$4:M57)</f>
        <v>-22.549999999999986</v>
      </c>
      <c r="P57" s="32">
        <f>Table_BDD[[#This Row],[Equité avant trade]]+Table_BDD[[#This Row],[Profit]]+Table_BDD[[#This Row],[Echange]]</f>
        <v>977.45</v>
      </c>
      <c r="Q57" s="52">
        <f>INT(Table_BDD[[#This Row],[Horodatage cloture]])</f>
        <v>43867</v>
      </c>
      <c r="R57" s="34">
        <f>WEEKNUM(Table_BDD[[#This Row],[Horodatage cloture]],2)</f>
        <v>6</v>
      </c>
      <c r="S57" s="61">
        <f>WEEKDAY(Table_BDD[[#This Row],[Horodatage cloture]])</f>
        <v>5</v>
      </c>
      <c r="T57" s="63">
        <f>HOUR(Table_BDD[[#This Row],[Horodatage cloture]])</f>
        <v>15</v>
      </c>
      <c r="U57" s="68">
        <f>IF(Table_BDD[[#This Row],[Position]]="","",IF(Table_BDD[[#This Row],[Valeur début de journée unique]]&lt;&gt;0,1,0))</f>
        <v>0</v>
      </c>
      <c r="V57" s="68" t="str">
        <f>IF(Table_BDD[[#This Row],[Nb de séance de trading]]=1,COUNTIF(Table_BDD[Date],Table_BDD[[#This Row],[Date]]),"")</f>
        <v/>
      </c>
      <c r="W57" s="33">
        <f>IF(Table_BDD[[#This Row],[Position]]="","",IF(Table_BDD[[#This Row],[Type]]="buy",ROUND(Table_BDD[[#This Row],[Lvl Entrée]]-Table_BDD[[#This Row],[S / L]],1),ROUND(Table_BDD[[#This Row],[S / L]]-Table_BDD[[#This Row],[Lvl Entrée]],1)))</f>
        <v>10</v>
      </c>
      <c r="X57" s="33">
        <f>IF(Table_BDD[[#This Row],[Position]]="","",IF(Table_BDD[[#This Row],[T / P]]=0,200,IF(Table_BDD[[#This Row],[Type]]="buy",ROUND(Table_BDD[[#This Row],[T / P]]-Table_BDD[[#This Row],[Lvl Entrée]],1),ROUND(Table_BDD[[#This Row],[Lvl Entrée]]-Table_BDD[[#This Row],[T / P]],1))))</f>
        <v>200</v>
      </c>
      <c r="Y57" s="34">
        <f>IF(Table_BDD[[#This Row],[Position]]="","",IF(Table_BDD[[#This Row],[Ecart du SL]]&gt;0,ROUND(ABS(Table_BDD[[#This Row],[Ecart du TP]])/ABS(Table_BDD[[#This Row],[Ecart du SL]]),1),ROUND(ABS(Table_BDD[[#This Row],[Ecart du TP]])/10,1)))</f>
        <v>20</v>
      </c>
      <c r="Z57" s="34">
        <f>IF(Table_BDD[[#This Row],[Position]]="","",IF(Table_BDD[[#This Row],[Ecart du SL]]&lt;0,IF(AND(Table_BDD[[#This Row],[Profit]]&gt;0,Table_BDD[[#This Row],[Type]]="sell"),ROUND((Table_BDD[[#This Row],[Lvl Entrée]]-Table_BDD[[#This Row],[Lvl Sortie]])/(10),1),IF(AND(Table_BDD[[#This Row],[Profit]]&gt;0,Table_BDD[[#This Row],[Type]]="buy"),ROUND((Table_BDD[[#This Row],[Lvl Sortie]]-Table_BDD[[#This Row],[Lvl Entrée]])/(10),1),)),IF(AND(Table_BDD[[#This Row],[Profit]]&gt;0,Table_BDD[[#This Row],[Type]]="sell"),ROUND((Table_BDD[[#This Row],[Lvl Entrée]]-Table_BDD[[#This Row],[Lvl Sortie]])/(Table_BDD[[#This Row],[S / L]]-Table_BDD[[#This Row],[Lvl Entrée]]),1),IF(AND(Table_BDD[[#This Row],[Profit]]&gt;0,Table_BDD[[#This Row],[Type]]="buy"),ROUND((Table_BDD[[#This Row],[Lvl Sortie]]-Table_BDD[[#This Row],[Lvl Entrée]])/(Table_BDD[[#This Row],[Lvl Entrée]]-Table_BDD[[#This Row],[S / L]]),1),ROUND(Table_BDD[[#This Row],[Points]]/10,1)))))</f>
        <v>-1</v>
      </c>
      <c r="AA57" s="32">
        <f>IF(Table_BDD[[#This Row],[Position]]="",AA56,Table_BDD[[#This Row],[Equité après trade]]-Table_BDD[[#This Row],[Profit]]-Table_BDD[[#This Row],[Echange]])</f>
        <v>982.08</v>
      </c>
      <c r="AB57" s="149">
        <f>$B$1+SUM($L$4:M57)</f>
        <v>977.45</v>
      </c>
      <c r="AC57" s="150">
        <f>IF(Table_BDD[[#This Row],[Position]]="","",_xlfn.MINIFS(Table_BDD[Horodatage ouverture],Table_BDD[Date],Table_BDD[Date]))</f>
        <v>43867.646678240744</v>
      </c>
      <c r="AD57" s="149">
        <f>VLOOKUP(_xlfn.MINIFS(Table_BDD[Horodatage ouverture],Table_BDD[Date],Table_BDD[Date]),Table_BDD[[Horodatage ouverture]:[Heure derniere valeur]],AA$2)</f>
        <v>1017.63</v>
      </c>
      <c r="AE57" s="149">
        <f>IF(VLOOKUP(_xlfn.MINIFS(Table_BDD[Horodatage ouverture],Table_BDD[Date],Table_BDD[Date]),Table_BDD[[Horodatage ouverture]:[Heure derniere valeur]],AA$2)=Table_BDD[[#This Row],[Equité avant trade]],VLOOKUP(_xlfn.MINIFS(Table_BDD[Horodatage ouverture],Table_BDD[Date],Table_BDD[Date]),Table_BDD[[Horodatage ouverture]:[Heure derniere valeur]],AA$2),0)</f>
        <v>0</v>
      </c>
      <c r="AF57" s="150">
        <f>IF(Table_BDD[[#This Row],[Position]]="","",_xlfn.MAXIFS(Table_BDD[Horodatage ouverture],Table_BDD[Date],Table_BDD[Date]))</f>
        <v>43867.880486111113</v>
      </c>
      <c r="AG57" s="32">
        <f>VLOOKUP(_xlfn.MAXIFS(Table_BDD[Horodatage cloture],Table_BDD[Date],Table_BDD[Date]),Table_BDD[[Horodatage ouverture]:[Heure derniere valeur]],AB$2)</f>
        <v>1032.94</v>
      </c>
      <c r="AH57" s="32">
        <f>IF(VLOOKUP(_xlfn.MAXIFS(Table_BDD[Horodatage cloture],Table_BDD[Date],Table_BDD[Date]),Table_BDD[[Horodatage ouverture]:[Heure derniere valeur]],AB$2)=Table_BDD[[#This Row],[Equité après trade]],VLOOKUP(_xlfn.MAXIFS(Table_BDD[Horodatage cloture],Table_BDD[Date],Table_BDD[Date]),Table_BDD[[Horodatage ouverture]:[Heure derniere valeur]],AB$2),0)</f>
        <v>0</v>
      </c>
      <c r="AI57" s="32" t="e">
        <f>IF(Table_BDD[[#This Row],[Valeur fin de journée unique]]=0,#N/A,Table_BDD[[#This Row],[Valeur fin de journée unique]])</f>
        <v>#N/A</v>
      </c>
      <c r="AJ57" s="35">
        <f>IF(Table_BDD[[#This Row],[Position]]="","",(Table_BDD[[#This Row],[Equité après trade]]-Table_BDD[[#This Row],[Equité avant trade]])/Table_BDD[[#This Row],[Equité avant trade]])</f>
        <v>-4.7144835451287019E-3</v>
      </c>
      <c r="AK57" s="35" t="str">
        <f>IFERROR(((INDEX(Table_BDD[[Trade n°]:[Valeur fin de journée unique]],Table_BDD[[#This Row],[Nb de trade du jour]]+Table_BDD[[#This Row],[Trade n°]]-1,21))-Table_BDD[[#This Row],[Valeur début de journée unique]])/Table_BDD[[#This Row],[Valeur début de journée unique]],"")</f>
        <v/>
      </c>
      <c r="AL57" s="32">
        <f>IF(Table_BDD[[#This Row],[Position]]="","",MAX(Table_BDD[[#This Row],[Cumul équité]],AL56))</f>
        <v>1019.44</v>
      </c>
      <c r="AM57" s="32">
        <f>IF(Table_BDD[[#This Row],[Position]]="","",MIN(Table_BDD[[#This Row],[Cumul équité]],AL56))</f>
        <v>977.45</v>
      </c>
      <c r="AN57" s="97">
        <f>IF(Table_BDD[[#This Row],[Sommet Drawdown]]&gt;AL56,"",Table_BDD[[#This Row],[Creux Drawdown]]/Table_BDD[[#This Row],[Sommet Drawdown]]-1)</f>
        <v>-4.1189280389233307E-2</v>
      </c>
      <c r="AO57" s="36">
        <f>IF(Table_BDD[[#This Row],[Position]]="","",IF(Table_BDD[[#This Row],[Type]]="buy",ROUND(Table_BDD[[#This Row],[Lvl Sortie]]-Table_BDD[[#This Row],[Lvl Entrée]],1),ROUND(Table_BDD[[#This Row],[Lvl Entrée]]-Table_BDD[[#This Row],[Lvl Sortie]],1)))</f>
        <v>-10.199999999999999</v>
      </c>
      <c r="AP57" s="36" t="str">
        <f>IF(Table_BDD[[#This Row],[Points]]&gt;0,Table_BDD[[#This Row],[Points]],"")</f>
        <v/>
      </c>
      <c r="AQ57" s="36">
        <f>IF(Table_BDD[[#This Row],[Points]]&lt;0,Table_BDD[[#This Row],[Points]],"")</f>
        <v>-10.199999999999999</v>
      </c>
      <c r="AR57" s="36">
        <f>SUM($AO$4:AO57)</f>
        <v>-49.799999999999983</v>
      </c>
      <c r="AS57" s="68">
        <f>IF(Table_BDD[[#This Row],[Position]]="","",IF(Table_BDD[[#This Row],[Conformité]]="Conforme",1,0))</f>
        <v>0</v>
      </c>
      <c r="AT57" s="68">
        <f>IF(Table_BDD[[#This Row],[Position]]="","",IF(Table_BDD[[#This Row],[Conformité]]="Non conforme",1,0))</f>
        <v>1</v>
      </c>
      <c r="AU57" s="37" t="s">
        <v>17</v>
      </c>
      <c r="AV57" s="37"/>
      <c r="AW57" s="37"/>
      <c r="AX57" s="37">
        <v>0</v>
      </c>
      <c r="AY57" s="37">
        <v>0</v>
      </c>
      <c r="AZ57" s="37">
        <v>0</v>
      </c>
      <c r="BA57" s="37" t="str">
        <f>IF(Table_BDD[[#This Row],[Position]]="","Sans objet",IF(AND(Table_BDD[[#This Row],[Type]]="sell",Table_BDD[[#This Row],[S / L]]&lt;Table_BDD[[#This Row],[Lvl Entrée]],Table_BDD[[#This Row],[Lvl Sortie]]&lt;=Table_BDD[[#This Row],[S / L]]+2,Table_BDD[[#This Row],[Lvl Sortie]]&lt;Table_BDD[[#This Row],[Lvl Entrée]]-19),"Oui",IF(AND(Table_BDD[[#This Row],[Type]]="buy",Table_BDD[[#This Row],[S / L]]&gt;Table_BDD[[#This Row],[Lvl Entrée]],Table_BDD[[#This Row],[Lvl Sortie]]&gt;=Table_BDD[[#This Row],[S / L]]-2,Table_BDD[[#This Row],[S / L]]&gt;Table_BDD[[#This Row],[Lvl Entrée]]+19),"Oui","Non")))</f>
        <v>Non</v>
      </c>
      <c r="BB57" s="37" t="str">
        <f>IF(Table_BDD[[#This Row],[Position]]="","Sans objet",IF(AND(Table_BDD[[#This Row],[Type]]="sell",Table_BDD[[#This Row],[S / L]]&lt;Table_BDD[[#This Row],[Lvl Entrée]],Table_BDD[[#This Row],[Points]]&gt;=-1),"Oui",IF(AND(Table_BDD[[#This Row],[Type]]="sell",Table_BDD[[#This Row],[S / L]]&gt;Table_BDD[[#This Row],[Lvl Entrée]]),"Non",IF(AND(Table_BDD[[#This Row],[Type]]="buy",Table_BDD[[#This Row],[S / L]]&lt;Table_BDD[[#This Row],[Lvl Entrée]]),"Non",IF(AND(Table_BDD[[#This Row],[Type]]="buy",Table_BDD[[#This Row],[S / L]]&gt;Table_BDD[[#This Row],[Lvl Entrée]],Table_BDD[[#This Row],[Points]]&gt;=-1),"Oui")))))</f>
        <v>Non</v>
      </c>
      <c r="BC57" s="37" t="str">
        <f>IF(Table_BDD[[#This Row],[Position]]="","Sans objet",IF(Table_BDD[[#This Row],[T / P]]="","Non",IF(AND(Table_BDD[[#This Row],[Type]]="sell",Table_BDD[[#This Row],[Lvl Sortie]]&lt;=Table_BDD[[#This Row],[T / P]]),"Oui",IF(AND(Table_BDD[[#This Row],[Type]]="buy",Table_BDD[[#This Row],[Lvl Sortie]]&gt;=Table_BDD[[#This Row],[T / P]]),"Oui","Non"))))</f>
        <v>Non</v>
      </c>
      <c r="BD57" s="91">
        <f t="array" ref="BD57">IFERROR(INDEX(downloadFile[#All],MATCH(Table_BDD[[#This Row],[Date]],downloadFile[[#All],[Column1]],0),2),BD56)</f>
        <v>1.1003000000000001</v>
      </c>
      <c r="BE57" s="89">
        <f>IF(Table_BDD[[#This Row],[Position]]="","",IF(Table_BDD[[#This Row],[Symbole]]="UsaInd",(Table_BDD[[#This Row],[Volume]]*Table_BDD[[#This Row],[Lvl Entrée]])/(Table_BDD[[#This Row],[Equité avant trade]]*Table_BDD[[#This Row],[EUR/USD]]),IF(Table_BDD[[#This Row],[Symbole]]="Ger30",(Table_BDD[[#This Row],[Volume]]*Table_BDD[[#This Row],[Lvl Entrée]])/Table_BDD[[#This Row],[Equité avant trade]],)))</f>
        <v>13.541245875151143</v>
      </c>
      <c r="BF57" s="38">
        <f>IF(Table_BDD[[#This Row],[Position]]="","",IF(Table_BDD[[#This Row],[Conformité]]="Non conforme",0,(MROUND(3*((Table_BDD[[#This Row],[Conviction]]+Table_BDD[[#This Row],[Timing]]+Table_BDD[[#This Row],[Sortie]])+1)-2,1))))</f>
        <v>0</v>
      </c>
      <c r="BG57" s="38" t="str">
        <f>IF(Table_BDD[[#This Row],[Position]]="","",IF(Table_BDD[[#This Row],[Points]]&lt;-5,"--",IF(AND(Table_BDD[[#This Row],[Points]]&gt;=-5,Table_BDD[[#This Row],[Points]]&lt;-1.5),"-",IF(AND(Table_BDD[[#This Row],[Points]]&gt;=-1.5,Table_BDD[[#This Row],[Points]]&lt;1.5),"0",IF(AND(Table_BDD[[#This Row],[Points]]&gt;=1.5,Table_BDD[[#This Row],[Points]]&lt;=70),"+",IF(Table_BDD[[#This Row],[Points]]&gt;70,"++"))))))</f>
        <v>--</v>
      </c>
      <c r="BH57" s="37" t="str">
        <f>IF(Table_BDD[[#This Row],[Position]]="","",IF(Table_BDD[[#This Row],[Points]]&gt;0,"Gagnant",IF(Table_BDD[[#This Row],[Points]]=0,"Flat","Perdant")))</f>
        <v>Perdant</v>
      </c>
      <c r="BI57" s="40">
        <f>IF(Table_BDD[[#This Row],[Position]]="","",IF(Table_BDD[[#This Row],[Résultat]]="Gagnant",1,0))</f>
        <v>0</v>
      </c>
      <c r="BJ57" s="40">
        <f>IF(Table_BDD[[#This Row],[Position]]="","",IF(Table_BDD[[#This Row],[Résultat]]="Perdant",1,0))</f>
        <v>1</v>
      </c>
      <c r="BK57" s="40"/>
      <c r="BL57" s="145" t="str">
        <f>IF(Table_BDD[[#This Row],[T / P]]="","",Table_BDD[[#This Row],[T / P]])</f>
        <v/>
      </c>
      <c r="BM57" s="147"/>
      <c r="BN57" s="147"/>
      <c r="BO57" s="147"/>
      <c r="BP57" s="147"/>
      <c r="BQ57" s="127"/>
    </row>
    <row r="58" spans="1:69" x14ac:dyDescent="0.2">
      <c r="A58" s="93">
        <v>43867.660717592589</v>
      </c>
      <c r="B58" s="94">
        <v>259558272</v>
      </c>
      <c r="C58" s="37" t="s">
        <v>8</v>
      </c>
      <c r="D58" s="37" t="s">
        <v>9</v>
      </c>
      <c r="E58" s="37">
        <v>0.5</v>
      </c>
      <c r="F58" s="95">
        <v>29254.75</v>
      </c>
      <c r="G58" s="95">
        <v>29244.75</v>
      </c>
      <c r="H58" s="95">
        <v>29404.75</v>
      </c>
      <c r="I58" s="28">
        <v>43867.724351851852</v>
      </c>
      <c r="J58" s="95">
        <v>29375.84</v>
      </c>
      <c r="K58" s="95">
        <v>0</v>
      </c>
      <c r="L58" s="95">
        <v>0</v>
      </c>
      <c r="M58" s="32">
        <v>55.17</v>
      </c>
      <c r="N58" s="148">
        <f>IF(Table_BDD[[#This Row],[Position]]="","",ROW()-3)</f>
        <v>55</v>
      </c>
      <c r="O58" s="32">
        <f>SUM($L$4:M58)</f>
        <v>32.620000000000019</v>
      </c>
      <c r="P58" s="32">
        <f>Table_BDD[[#This Row],[Equité avant trade]]+Table_BDD[[#This Row],[Profit]]+Table_BDD[[#This Row],[Echange]]</f>
        <v>1032.6200000000001</v>
      </c>
      <c r="Q58" s="52">
        <f>INT(Table_BDD[[#This Row],[Horodatage cloture]])</f>
        <v>43867</v>
      </c>
      <c r="R58" s="34">
        <f>WEEKNUM(Table_BDD[[#This Row],[Horodatage cloture]],2)</f>
        <v>6</v>
      </c>
      <c r="S58" s="61">
        <f>WEEKDAY(Table_BDD[[#This Row],[Horodatage cloture]])</f>
        <v>5</v>
      </c>
      <c r="T58" s="63">
        <f>HOUR(Table_BDD[[#This Row],[Horodatage cloture]])</f>
        <v>17</v>
      </c>
      <c r="U58" s="68">
        <f>IF(Table_BDD[[#This Row],[Position]]="","",IF(Table_BDD[[#This Row],[Valeur début de journée unique]]&lt;&gt;0,1,0))</f>
        <v>0</v>
      </c>
      <c r="V58" s="68" t="str">
        <f>IF(Table_BDD[[#This Row],[Nb de séance de trading]]=1,COUNTIF(Table_BDD[Date],Table_BDD[[#This Row],[Date]]),"")</f>
        <v/>
      </c>
      <c r="W58" s="33">
        <f>IF(Table_BDD[[#This Row],[Position]]="","",IF(Table_BDD[[#This Row],[Type]]="buy",ROUND(Table_BDD[[#This Row],[Lvl Entrée]]-Table_BDD[[#This Row],[S / L]],1),ROUND(Table_BDD[[#This Row],[S / L]]-Table_BDD[[#This Row],[Lvl Entrée]],1)))</f>
        <v>10</v>
      </c>
      <c r="X58" s="33">
        <f>IF(Table_BDD[[#This Row],[Position]]="","",IF(Table_BDD[[#This Row],[T / P]]=0,200,IF(Table_BDD[[#This Row],[Type]]="buy",ROUND(Table_BDD[[#This Row],[T / P]]-Table_BDD[[#This Row],[Lvl Entrée]],1),ROUND(Table_BDD[[#This Row],[Lvl Entrée]]-Table_BDD[[#This Row],[T / P]],1))))</f>
        <v>150</v>
      </c>
      <c r="Y58" s="34">
        <f>IF(Table_BDD[[#This Row],[Position]]="","",IF(Table_BDD[[#This Row],[Ecart du SL]]&gt;0,ROUND(ABS(Table_BDD[[#This Row],[Ecart du TP]])/ABS(Table_BDD[[#This Row],[Ecart du SL]]),1),ROUND(ABS(Table_BDD[[#This Row],[Ecart du TP]])/10,1)))</f>
        <v>15</v>
      </c>
      <c r="Z58" s="34">
        <f>IF(Table_BDD[[#This Row],[Position]]="","",IF(Table_BDD[[#This Row],[Ecart du SL]]&lt;0,IF(AND(Table_BDD[[#This Row],[Profit]]&gt;0,Table_BDD[[#This Row],[Type]]="sell"),ROUND((Table_BDD[[#This Row],[Lvl Entrée]]-Table_BDD[[#This Row],[Lvl Sortie]])/(10),1),IF(AND(Table_BDD[[#This Row],[Profit]]&gt;0,Table_BDD[[#This Row],[Type]]="buy"),ROUND((Table_BDD[[#This Row],[Lvl Sortie]]-Table_BDD[[#This Row],[Lvl Entrée]])/(10),1),)),IF(AND(Table_BDD[[#This Row],[Profit]]&gt;0,Table_BDD[[#This Row],[Type]]="sell"),ROUND((Table_BDD[[#This Row],[Lvl Entrée]]-Table_BDD[[#This Row],[Lvl Sortie]])/(Table_BDD[[#This Row],[S / L]]-Table_BDD[[#This Row],[Lvl Entrée]]),1),IF(AND(Table_BDD[[#This Row],[Profit]]&gt;0,Table_BDD[[#This Row],[Type]]="buy"),ROUND((Table_BDD[[#This Row],[Lvl Sortie]]-Table_BDD[[#This Row],[Lvl Entrée]])/(Table_BDD[[#This Row],[Lvl Entrée]]-Table_BDD[[#This Row],[S / L]]),1),ROUND(Table_BDD[[#This Row],[Points]]/10,1)))))</f>
        <v>12.1</v>
      </c>
      <c r="AA58" s="32">
        <f>IF(Table_BDD[[#This Row],[Position]]="",AA57,Table_BDD[[#This Row],[Equité après trade]]-Table_BDD[[#This Row],[Profit]]-Table_BDD[[#This Row],[Echange]])</f>
        <v>977.45000000000016</v>
      </c>
      <c r="AB58" s="149">
        <f>$B$1+SUM($L$4:M58)</f>
        <v>1032.6200000000001</v>
      </c>
      <c r="AC58" s="150">
        <f>IF(Table_BDD[[#This Row],[Position]]="","",_xlfn.MINIFS(Table_BDD[Horodatage ouverture],Table_BDD[Date],Table_BDD[Date]))</f>
        <v>43867.646678240744</v>
      </c>
      <c r="AD58" s="149">
        <f>VLOOKUP(_xlfn.MINIFS(Table_BDD[Horodatage ouverture],Table_BDD[Date],Table_BDD[Date]),Table_BDD[[Horodatage ouverture]:[Heure derniere valeur]],AA$2)</f>
        <v>1017.63</v>
      </c>
      <c r="AE58" s="149">
        <f>IF(VLOOKUP(_xlfn.MINIFS(Table_BDD[Horodatage ouverture],Table_BDD[Date],Table_BDD[Date]),Table_BDD[[Horodatage ouverture]:[Heure derniere valeur]],AA$2)=Table_BDD[[#This Row],[Equité avant trade]],VLOOKUP(_xlfn.MINIFS(Table_BDD[Horodatage ouverture],Table_BDD[Date],Table_BDD[Date]),Table_BDD[[Horodatage ouverture]:[Heure derniere valeur]],AA$2),0)</f>
        <v>0</v>
      </c>
      <c r="AF58" s="150">
        <f>IF(Table_BDD[[#This Row],[Position]]="","",_xlfn.MAXIFS(Table_BDD[Horodatage ouverture],Table_BDD[Date],Table_BDD[Date]))</f>
        <v>43867.880486111113</v>
      </c>
      <c r="AG58" s="32">
        <f>VLOOKUP(_xlfn.MAXIFS(Table_BDD[Horodatage cloture],Table_BDD[Date],Table_BDD[Date]),Table_BDD[[Horodatage ouverture]:[Heure derniere valeur]],AB$2)</f>
        <v>1032.94</v>
      </c>
      <c r="AH58" s="32">
        <f>IF(VLOOKUP(_xlfn.MAXIFS(Table_BDD[Horodatage cloture],Table_BDD[Date],Table_BDD[Date]),Table_BDD[[Horodatage ouverture]:[Heure derniere valeur]],AB$2)=Table_BDD[[#This Row],[Equité après trade]],VLOOKUP(_xlfn.MAXIFS(Table_BDD[Horodatage cloture],Table_BDD[Date],Table_BDD[Date]),Table_BDD[[Horodatage ouverture]:[Heure derniere valeur]],AB$2),0)</f>
        <v>0</v>
      </c>
      <c r="AI58" s="32" t="e">
        <f>IF(Table_BDD[[#This Row],[Valeur fin de journée unique]]=0,#N/A,Table_BDD[[#This Row],[Valeur fin de journée unique]])</f>
        <v>#N/A</v>
      </c>
      <c r="AJ58" s="35">
        <f>IF(Table_BDD[[#This Row],[Position]]="","",(Table_BDD[[#This Row],[Equité après trade]]-Table_BDD[[#This Row],[Equité avant trade]])/Table_BDD[[#This Row],[Equité avant trade]])</f>
        <v>5.6442784797176272E-2</v>
      </c>
      <c r="AK58" s="35" t="str">
        <f>IFERROR(((INDEX(Table_BDD[[Trade n°]:[Valeur fin de journée unique]],Table_BDD[[#This Row],[Nb de trade du jour]]+Table_BDD[[#This Row],[Trade n°]]-1,21))-Table_BDD[[#This Row],[Valeur début de journée unique]])/Table_BDD[[#This Row],[Valeur début de journée unique]],"")</f>
        <v/>
      </c>
      <c r="AL58" s="32">
        <f>IF(Table_BDD[[#This Row],[Position]]="","",MAX(Table_BDD[[#This Row],[Cumul équité]],AL57))</f>
        <v>1032.6200000000001</v>
      </c>
      <c r="AM58" s="32">
        <f>IF(Table_BDD[[#This Row],[Position]]="","",MIN(Table_BDD[[#This Row],[Cumul équité]],AL57))</f>
        <v>1019.44</v>
      </c>
      <c r="AN58" s="97" t="str">
        <f>IF(Table_BDD[[#This Row],[Sommet Drawdown]]&gt;AL57,"",Table_BDD[[#This Row],[Creux Drawdown]]/Table_BDD[[#This Row],[Sommet Drawdown]]-1)</f>
        <v/>
      </c>
      <c r="AO58" s="36">
        <f>IF(Table_BDD[[#This Row],[Position]]="","",IF(Table_BDD[[#This Row],[Type]]="buy",ROUND(Table_BDD[[#This Row],[Lvl Sortie]]-Table_BDD[[#This Row],[Lvl Entrée]],1),ROUND(Table_BDD[[#This Row],[Lvl Entrée]]-Table_BDD[[#This Row],[Lvl Sortie]],1)))</f>
        <v>121.1</v>
      </c>
      <c r="AP58" s="36">
        <f>IF(Table_BDD[[#This Row],[Points]]&gt;0,Table_BDD[[#This Row],[Points]],"")</f>
        <v>121.1</v>
      </c>
      <c r="AQ58" s="36" t="str">
        <f>IF(Table_BDD[[#This Row],[Points]]&lt;0,Table_BDD[[#This Row],[Points]],"")</f>
        <v/>
      </c>
      <c r="AR58" s="36">
        <f>SUM($AO$4:AO58)</f>
        <v>71.300000000000011</v>
      </c>
      <c r="AS58" s="68">
        <f>IF(Table_BDD[[#This Row],[Position]]="","",IF(Table_BDD[[#This Row],[Conformité]]="Conforme",1,0))</f>
        <v>0</v>
      </c>
      <c r="AT58" s="68">
        <f>IF(Table_BDD[[#This Row],[Position]]="","",IF(Table_BDD[[#This Row],[Conformité]]="Non conforme",1,0))</f>
        <v>1</v>
      </c>
      <c r="AU58" s="37" t="s">
        <v>17</v>
      </c>
      <c r="AV58" s="37"/>
      <c r="AW58" s="37"/>
      <c r="AX58" s="37">
        <v>0</v>
      </c>
      <c r="AY58" s="37">
        <v>0</v>
      </c>
      <c r="AZ58" s="37">
        <v>0</v>
      </c>
      <c r="BA58" s="37" t="str">
        <f>IF(Table_BDD[[#This Row],[Position]]="","Sans objet",IF(AND(Table_BDD[[#This Row],[Type]]="sell",Table_BDD[[#This Row],[S / L]]&lt;Table_BDD[[#This Row],[Lvl Entrée]],Table_BDD[[#This Row],[Lvl Sortie]]&lt;=Table_BDD[[#This Row],[S / L]]+2,Table_BDD[[#This Row],[Lvl Sortie]]&lt;Table_BDD[[#This Row],[Lvl Entrée]]-19),"Oui",IF(AND(Table_BDD[[#This Row],[Type]]="buy",Table_BDD[[#This Row],[S / L]]&gt;Table_BDD[[#This Row],[Lvl Entrée]],Table_BDD[[#This Row],[Lvl Sortie]]&gt;=Table_BDD[[#This Row],[S / L]]-2,Table_BDD[[#This Row],[S / L]]&gt;Table_BDD[[#This Row],[Lvl Entrée]]+19),"Oui","Non")))</f>
        <v>Non</v>
      </c>
      <c r="BB58" s="37" t="str">
        <f>IF(Table_BDD[[#This Row],[Position]]="","Sans objet",IF(AND(Table_BDD[[#This Row],[Type]]="sell",Table_BDD[[#This Row],[S / L]]&lt;Table_BDD[[#This Row],[Lvl Entrée]],Table_BDD[[#This Row],[Points]]&gt;=-1),"Oui",IF(AND(Table_BDD[[#This Row],[Type]]="sell",Table_BDD[[#This Row],[S / L]]&gt;Table_BDD[[#This Row],[Lvl Entrée]]),"Non",IF(AND(Table_BDD[[#This Row],[Type]]="buy",Table_BDD[[#This Row],[S / L]]&lt;Table_BDD[[#This Row],[Lvl Entrée]]),"Non",IF(AND(Table_BDD[[#This Row],[Type]]="buy",Table_BDD[[#This Row],[S / L]]&gt;Table_BDD[[#This Row],[Lvl Entrée]],Table_BDD[[#This Row],[Points]]&gt;=-1),"Oui")))))</f>
        <v>Non</v>
      </c>
      <c r="BC58" s="37" t="str">
        <f>IF(Table_BDD[[#This Row],[Position]]="","Sans objet",IF(Table_BDD[[#This Row],[T / P]]="","Non",IF(AND(Table_BDD[[#This Row],[Type]]="sell",Table_BDD[[#This Row],[Lvl Sortie]]&lt;=Table_BDD[[#This Row],[T / P]]),"Oui",IF(AND(Table_BDD[[#This Row],[Type]]="buy",Table_BDD[[#This Row],[Lvl Sortie]]&gt;=Table_BDD[[#This Row],[T / P]]),"Oui","Non"))))</f>
        <v>Non</v>
      </c>
      <c r="BD58" s="91">
        <f t="array" ref="BD58">IFERROR(INDEX(downloadFile[#All],MATCH(Table_BDD[[#This Row],[Date]],downloadFile[[#All],[Column1]],0),2),BD57)</f>
        <v>1.1003000000000001</v>
      </c>
      <c r="BE58" s="89">
        <f>IF(Table_BDD[[#This Row],[Position]]="","",IF(Table_BDD[[#This Row],[Symbole]]="UsaInd",(Table_BDD[[#This Row],[Volume]]*Table_BDD[[#This Row],[Lvl Entrée]])/(Table_BDD[[#This Row],[Equité avant trade]]*Table_BDD[[#This Row],[EUR/USD]]),IF(Table_BDD[[#This Row],[Symbole]]="Ger30",(Table_BDD[[#This Row],[Volume]]*Table_BDD[[#This Row],[Lvl Entrée]])/Table_BDD[[#This Row],[Equité avant trade]],)))</f>
        <v>13.600683414263473</v>
      </c>
      <c r="BF58" s="38">
        <f>IF(Table_BDD[[#This Row],[Position]]="","",IF(Table_BDD[[#This Row],[Conformité]]="Non conforme",0,(MROUND(3*((Table_BDD[[#This Row],[Conviction]]+Table_BDD[[#This Row],[Timing]]+Table_BDD[[#This Row],[Sortie]])+1)-2,1))))</f>
        <v>0</v>
      </c>
      <c r="BG58" s="38" t="str">
        <f>IF(Table_BDD[[#This Row],[Position]]="","",IF(Table_BDD[[#This Row],[Points]]&lt;-5,"--",IF(AND(Table_BDD[[#This Row],[Points]]&gt;=-5,Table_BDD[[#This Row],[Points]]&lt;-1.5),"-",IF(AND(Table_BDD[[#This Row],[Points]]&gt;=-1.5,Table_BDD[[#This Row],[Points]]&lt;1.5),"0",IF(AND(Table_BDD[[#This Row],[Points]]&gt;=1.5,Table_BDD[[#This Row],[Points]]&lt;=70),"+",IF(Table_BDD[[#This Row],[Points]]&gt;70,"++"))))))</f>
        <v>++</v>
      </c>
      <c r="BH58" s="37" t="str">
        <f>IF(Table_BDD[[#This Row],[Position]]="","",IF(Table_BDD[[#This Row],[Points]]&gt;0,"Gagnant",IF(Table_BDD[[#This Row],[Points]]=0,"Flat","Perdant")))</f>
        <v>Gagnant</v>
      </c>
      <c r="BI58" s="40">
        <f>IF(Table_BDD[[#This Row],[Position]]="","",IF(Table_BDD[[#This Row],[Résultat]]="Gagnant",1,0))</f>
        <v>1</v>
      </c>
      <c r="BJ58" s="40">
        <f>IF(Table_BDD[[#This Row],[Position]]="","",IF(Table_BDD[[#This Row],[Résultat]]="Perdant",1,0))</f>
        <v>0</v>
      </c>
      <c r="BK58" s="40"/>
      <c r="BL58" s="145">
        <f>IF(Table_BDD[[#This Row],[T / P]]="","",Table_BDD[[#This Row],[T / P]])</f>
        <v>29404.75</v>
      </c>
      <c r="BM58" s="147"/>
      <c r="BN58" s="147"/>
      <c r="BO58" s="147"/>
      <c r="BP58" s="147"/>
      <c r="BQ58" s="127"/>
    </row>
    <row r="59" spans="1:69" x14ac:dyDescent="0.2">
      <c r="A59" s="93">
        <v>43867.880486111113</v>
      </c>
      <c r="B59" s="94">
        <v>259578962</v>
      </c>
      <c r="C59" s="37" t="s">
        <v>8</v>
      </c>
      <c r="D59" s="37" t="s">
        <v>9</v>
      </c>
      <c r="E59" s="37">
        <v>0.5</v>
      </c>
      <c r="F59" s="95">
        <v>29384.26</v>
      </c>
      <c r="G59" s="95">
        <v>29385.759999999998</v>
      </c>
      <c r="H59" s="95">
        <v>29404.26</v>
      </c>
      <c r="I59" s="28">
        <v>43867.882291666669</v>
      </c>
      <c r="J59" s="95">
        <v>29384.95</v>
      </c>
      <c r="K59" s="95">
        <v>0</v>
      </c>
      <c r="L59" s="95">
        <v>0</v>
      </c>
      <c r="M59" s="32">
        <v>0.32</v>
      </c>
      <c r="N59" s="148">
        <f>IF(Table_BDD[[#This Row],[Position]]="","",ROW()-3)</f>
        <v>56</v>
      </c>
      <c r="O59" s="32">
        <f>SUM($L$4:M59)</f>
        <v>32.940000000000019</v>
      </c>
      <c r="P59" s="32">
        <f>Table_BDD[[#This Row],[Equité avant trade]]+Table_BDD[[#This Row],[Profit]]+Table_BDD[[#This Row],[Echange]]</f>
        <v>1032.94</v>
      </c>
      <c r="Q59" s="52">
        <f>INT(Table_BDD[[#This Row],[Horodatage cloture]])</f>
        <v>43867</v>
      </c>
      <c r="R59" s="34">
        <f>WEEKNUM(Table_BDD[[#This Row],[Horodatage cloture]],2)</f>
        <v>6</v>
      </c>
      <c r="S59" s="61">
        <f>WEEKDAY(Table_BDD[[#This Row],[Horodatage cloture]])</f>
        <v>5</v>
      </c>
      <c r="T59" s="63">
        <f>HOUR(Table_BDD[[#This Row],[Horodatage cloture]])</f>
        <v>21</v>
      </c>
      <c r="U59" s="68">
        <f>IF(Table_BDD[[#This Row],[Position]]="","",IF(Table_BDD[[#This Row],[Valeur début de journée unique]]&lt;&gt;0,1,0))</f>
        <v>0</v>
      </c>
      <c r="V59" s="68" t="str">
        <f>IF(Table_BDD[[#This Row],[Nb de séance de trading]]=1,COUNTIF(Table_BDD[Date],Table_BDD[[#This Row],[Date]]),"")</f>
        <v/>
      </c>
      <c r="W59" s="33">
        <f>IF(Table_BDD[[#This Row],[Position]]="","",IF(Table_BDD[[#This Row],[Type]]="buy",ROUND(Table_BDD[[#This Row],[Lvl Entrée]]-Table_BDD[[#This Row],[S / L]],1),ROUND(Table_BDD[[#This Row],[S / L]]-Table_BDD[[#This Row],[Lvl Entrée]],1)))</f>
        <v>-1.5</v>
      </c>
      <c r="X59" s="33">
        <f>IF(Table_BDD[[#This Row],[Position]]="","",IF(Table_BDD[[#This Row],[T / P]]=0,200,IF(Table_BDD[[#This Row],[Type]]="buy",ROUND(Table_BDD[[#This Row],[T / P]]-Table_BDD[[#This Row],[Lvl Entrée]],1),ROUND(Table_BDD[[#This Row],[Lvl Entrée]]-Table_BDD[[#This Row],[T / P]],1))))</f>
        <v>20</v>
      </c>
      <c r="Y59" s="34">
        <f>IF(Table_BDD[[#This Row],[Position]]="","",IF(Table_BDD[[#This Row],[Ecart du SL]]&gt;0,ROUND(ABS(Table_BDD[[#This Row],[Ecart du TP]])/ABS(Table_BDD[[#This Row],[Ecart du SL]]),1),ROUND(ABS(Table_BDD[[#This Row],[Ecart du TP]])/10,1)))</f>
        <v>2</v>
      </c>
      <c r="Z59" s="34">
        <f>IF(Table_BDD[[#This Row],[Position]]="","",IF(Table_BDD[[#This Row],[Ecart du SL]]&lt;0,IF(AND(Table_BDD[[#This Row],[Profit]]&gt;0,Table_BDD[[#This Row],[Type]]="sell"),ROUND((Table_BDD[[#This Row],[Lvl Entrée]]-Table_BDD[[#This Row],[Lvl Sortie]])/(10),1),IF(AND(Table_BDD[[#This Row],[Profit]]&gt;0,Table_BDD[[#This Row],[Type]]="buy"),ROUND((Table_BDD[[#This Row],[Lvl Sortie]]-Table_BDD[[#This Row],[Lvl Entrée]])/(10),1),)),IF(AND(Table_BDD[[#This Row],[Profit]]&gt;0,Table_BDD[[#This Row],[Type]]="sell"),ROUND((Table_BDD[[#This Row],[Lvl Entrée]]-Table_BDD[[#This Row],[Lvl Sortie]])/(Table_BDD[[#This Row],[S / L]]-Table_BDD[[#This Row],[Lvl Entrée]]),1),IF(AND(Table_BDD[[#This Row],[Profit]]&gt;0,Table_BDD[[#This Row],[Type]]="buy"),ROUND((Table_BDD[[#This Row],[Lvl Sortie]]-Table_BDD[[#This Row],[Lvl Entrée]])/(Table_BDD[[#This Row],[Lvl Entrée]]-Table_BDD[[#This Row],[S / L]]),1),ROUND(Table_BDD[[#This Row],[Points]]/10,1)))))</f>
        <v>0.1</v>
      </c>
      <c r="AA59" s="32">
        <f>IF(Table_BDD[[#This Row],[Position]]="",AA58,Table_BDD[[#This Row],[Equité après trade]]-Table_BDD[[#This Row],[Profit]]-Table_BDD[[#This Row],[Echange]])</f>
        <v>1032.6200000000001</v>
      </c>
      <c r="AB59" s="149">
        <f>$B$1+SUM($L$4:M59)</f>
        <v>1032.94</v>
      </c>
      <c r="AC59" s="150">
        <f>IF(Table_BDD[[#This Row],[Position]]="","",_xlfn.MINIFS(Table_BDD[Horodatage ouverture],Table_BDD[Date],Table_BDD[Date]))</f>
        <v>43867.646678240744</v>
      </c>
      <c r="AD59" s="149">
        <f>VLOOKUP(_xlfn.MINIFS(Table_BDD[Horodatage ouverture],Table_BDD[Date],Table_BDD[Date]),Table_BDD[[Horodatage ouverture]:[Heure derniere valeur]],AA$2)</f>
        <v>1017.63</v>
      </c>
      <c r="AE59" s="149">
        <f>IF(VLOOKUP(_xlfn.MINIFS(Table_BDD[Horodatage ouverture],Table_BDD[Date],Table_BDD[Date]),Table_BDD[[Horodatage ouverture]:[Heure derniere valeur]],AA$2)=Table_BDD[[#This Row],[Equité avant trade]],VLOOKUP(_xlfn.MINIFS(Table_BDD[Horodatage ouverture],Table_BDD[Date],Table_BDD[Date]),Table_BDD[[Horodatage ouverture]:[Heure derniere valeur]],AA$2),0)</f>
        <v>0</v>
      </c>
      <c r="AF59" s="150">
        <f>IF(Table_BDD[[#This Row],[Position]]="","",_xlfn.MAXIFS(Table_BDD[Horodatage ouverture],Table_BDD[Date],Table_BDD[Date]))</f>
        <v>43867.880486111113</v>
      </c>
      <c r="AG59" s="32">
        <f>VLOOKUP(_xlfn.MAXIFS(Table_BDD[Horodatage cloture],Table_BDD[Date],Table_BDD[Date]),Table_BDD[[Horodatage ouverture]:[Heure derniere valeur]],AB$2)</f>
        <v>1032.94</v>
      </c>
      <c r="AH59" s="32">
        <f>IF(VLOOKUP(_xlfn.MAXIFS(Table_BDD[Horodatage cloture],Table_BDD[Date],Table_BDD[Date]),Table_BDD[[Horodatage ouverture]:[Heure derniere valeur]],AB$2)=Table_BDD[[#This Row],[Equité après trade]],VLOOKUP(_xlfn.MAXIFS(Table_BDD[Horodatage cloture],Table_BDD[Date],Table_BDD[Date]),Table_BDD[[Horodatage ouverture]:[Heure derniere valeur]],AB$2),0)</f>
        <v>1032.94</v>
      </c>
      <c r="AI59" s="32">
        <f>IF(Table_BDD[[#This Row],[Valeur fin de journée unique]]=0,#N/A,Table_BDD[[#This Row],[Valeur fin de journée unique]])</f>
        <v>1032.94</v>
      </c>
      <c r="AJ59" s="35">
        <f>IF(Table_BDD[[#This Row],[Position]]="","",(Table_BDD[[#This Row],[Equité après trade]]-Table_BDD[[#This Row],[Equité avant trade]])/Table_BDD[[#This Row],[Equité avant trade]])</f>
        <v>3.098913443473265E-4</v>
      </c>
      <c r="AK59" s="35" t="str">
        <f>IFERROR(((INDEX(Table_BDD[[Trade n°]:[Valeur fin de journée unique]],Table_BDD[[#This Row],[Nb de trade du jour]]+Table_BDD[[#This Row],[Trade n°]]-1,21))-Table_BDD[[#This Row],[Valeur début de journée unique]])/Table_BDD[[#This Row],[Valeur début de journée unique]],"")</f>
        <v/>
      </c>
      <c r="AL59" s="32">
        <f>IF(Table_BDD[[#This Row],[Position]]="","",MAX(Table_BDD[[#This Row],[Cumul équité]],AL58))</f>
        <v>1032.94</v>
      </c>
      <c r="AM59" s="32">
        <f>IF(Table_BDD[[#This Row],[Position]]="","",MIN(Table_BDD[[#This Row],[Cumul équité]],AL58))</f>
        <v>1032.6200000000001</v>
      </c>
      <c r="AN59" s="97" t="str">
        <f>IF(Table_BDD[[#This Row],[Sommet Drawdown]]&gt;AL58,"",Table_BDD[[#This Row],[Creux Drawdown]]/Table_BDD[[#This Row],[Sommet Drawdown]]-1)</f>
        <v/>
      </c>
      <c r="AO59" s="36">
        <f>IF(Table_BDD[[#This Row],[Position]]="","",IF(Table_BDD[[#This Row],[Type]]="buy",ROUND(Table_BDD[[#This Row],[Lvl Sortie]]-Table_BDD[[#This Row],[Lvl Entrée]],1),ROUND(Table_BDD[[#This Row],[Lvl Entrée]]-Table_BDD[[#This Row],[Lvl Sortie]],1)))</f>
        <v>0.7</v>
      </c>
      <c r="AP59" s="36">
        <f>IF(Table_BDD[[#This Row],[Points]]&gt;0,Table_BDD[[#This Row],[Points]],"")</f>
        <v>0.7</v>
      </c>
      <c r="AQ59" s="36" t="str">
        <f>IF(Table_BDD[[#This Row],[Points]]&lt;0,Table_BDD[[#This Row],[Points]],"")</f>
        <v/>
      </c>
      <c r="AR59" s="36">
        <f>SUM($AO$4:AO59)</f>
        <v>72.000000000000014</v>
      </c>
      <c r="AS59" s="68">
        <f>IF(Table_BDD[[#This Row],[Position]]="","",IF(Table_BDD[[#This Row],[Conformité]]="Conforme",1,0))</f>
        <v>0</v>
      </c>
      <c r="AT59" s="68">
        <f>IF(Table_BDD[[#This Row],[Position]]="","",IF(Table_BDD[[#This Row],[Conformité]]="Non conforme",1,0))</f>
        <v>1</v>
      </c>
      <c r="AU59" s="37" t="s">
        <v>17</v>
      </c>
      <c r="AV59" s="37"/>
      <c r="AW59" s="37"/>
      <c r="AX59" s="37">
        <v>0</v>
      </c>
      <c r="AY59" s="37">
        <v>0</v>
      </c>
      <c r="AZ59" s="37">
        <v>0</v>
      </c>
      <c r="BA59" s="37" t="str">
        <f>IF(Table_BDD[[#This Row],[Position]]="","Sans objet",IF(AND(Table_BDD[[#This Row],[Type]]="sell",Table_BDD[[#This Row],[S / L]]&lt;Table_BDD[[#This Row],[Lvl Entrée]],Table_BDD[[#This Row],[Lvl Sortie]]&lt;=Table_BDD[[#This Row],[S / L]]+2,Table_BDD[[#This Row],[Lvl Sortie]]&lt;Table_BDD[[#This Row],[Lvl Entrée]]-19),"Oui",IF(AND(Table_BDD[[#This Row],[Type]]="buy",Table_BDD[[#This Row],[S / L]]&gt;Table_BDD[[#This Row],[Lvl Entrée]],Table_BDD[[#This Row],[Lvl Sortie]]&gt;=Table_BDD[[#This Row],[S / L]]-2,Table_BDD[[#This Row],[S / L]]&gt;Table_BDD[[#This Row],[Lvl Entrée]]+19),"Oui","Non")))</f>
        <v>Non</v>
      </c>
      <c r="BB59" s="37" t="str">
        <f>IF(Table_BDD[[#This Row],[Position]]="","Sans objet",IF(AND(Table_BDD[[#This Row],[Type]]="sell",Table_BDD[[#This Row],[S / L]]&lt;Table_BDD[[#This Row],[Lvl Entrée]],Table_BDD[[#This Row],[Points]]&gt;=-1),"Oui",IF(AND(Table_BDD[[#This Row],[Type]]="sell",Table_BDD[[#This Row],[S / L]]&gt;Table_BDD[[#This Row],[Lvl Entrée]]),"Non",IF(AND(Table_BDD[[#This Row],[Type]]="buy",Table_BDD[[#This Row],[S / L]]&lt;Table_BDD[[#This Row],[Lvl Entrée]]),"Non",IF(AND(Table_BDD[[#This Row],[Type]]="buy",Table_BDD[[#This Row],[S / L]]&gt;Table_BDD[[#This Row],[Lvl Entrée]],Table_BDD[[#This Row],[Points]]&gt;=-1),"Oui")))))</f>
        <v>Oui</v>
      </c>
      <c r="BC59" s="37" t="str">
        <f>IF(Table_BDD[[#This Row],[Position]]="","Sans objet",IF(Table_BDD[[#This Row],[T / P]]="","Non",IF(AND(Table_BDD[[#This Row],[Type]]="sell",Table_BDD[[#This Row],[Lvl Sortie]]&lt;=Table_BDD[[#This Row],[T / P]]),"Oui",IF(AND(Table_BDD[[#This Row],[Type]]="buy",Table_BDD[[#This Row],[Lvl Sortie]]&gt;=Table_BDD[[#This Row],[T / P]]),"Oui","Non"))))</f>
        <v>Non</v>
      </c>
      <c r="BD59" s="91">
        <f t="array" ref="BD59">IFERROR(INDEX(downloadFile[#All],MATCH(Table_BDD[[#This Row],[Date]],downloadFile[[#All],[Column1]],0),2),BD58)</f>
        <v>1.1003000000000001</v>
      </c>
      <c r="BE59" s="89">
        <f>IF(Table_BDD[[#This Row],[Position]]="","",IF(Table_BDD[[#This Row],[Symbole]]="UsaInd",(Table_BDD[[#This Row],[Volume]]*Table_BDD[[#This Row],[Lvl Entrée]])/(Table_BDD[[#This Row],[Equité avant trade]]*Table_BDD[[#This Row],[EUR/USD]]),IF(Table_BDD[[#This Row],[Symbole]]="Ger30",(Table_BDD[[#This Row],[Volume]]*Table_BDD[[#This Row],[Lvl Entrée]])/Table_BDD[[#This Row],[Equité avant trade]],)))</f>
        <v>12.931029937933381</v>
      </c>
      <c r="BF59" s="38">
        <f>IF(Table_BDD[[#This Row],[Position]]="","",IF(Table_BDD[[#This Row],[Conformité]]="Non conforme",0,(MROUND(3*((Table_BDD[[#This Row],[Conviction]]+Table_BDD[[#This Row],[Timing]]+Table_BDD[[#This Row],[Sortie]])+1)-2,1))))</f>
        <v>0</v>
      </c>
      <c r="BG59" s="38" t="str">
        <f>IF(Table_BDD[[#This Row],[Position]]="","",IF(Table_BDD[[#This Row],[Points]]&lt;-5,"--",IF(AND(Table_BDD[[#This Row],[Points]]&gt;=-5,Table_BDD[[#This Row],[Points]]&lt;-1.5),"-",IF(AND(Table_BDD[[#This Row],[Points]]&gt;=-1.5,Table_BDD[[#This Row],[Points]]&lt;1.5),"0",IF(AND(Table_BDD[[#This Row],[Points]]&gt;=1.5,Table_BDD[[#This Row],[Points]]&lt;=70),"+",IF(Table_BDD[[#This Row],[Points]]&gt;70,"++"))))))</f>
        <v>0</v>
      </c>
      <c r="BH59" s="37" t="str">
        <f>IF(Table_BDD[[#This Row],[Position]]="","",IF(Table_BDD[[#This Row],[Points]]&gt;0,"Gagnant",IF(Table_BDD[[#This Row],[Points]]=0,"Flat","Perdant")))</f>
        <v>Gagnant</v>
      </c>
      <c r="BI59" s="40">
        <f>IF(Table_BDD[[#This Row],[Position]]="","",IF(Table_BDD[[#This Row],[Résultat]]="Gagnant",1,0))</f>
        <v>1</v>
      </c>
      <c r="BJ59" s="40">
        <f>IF(Table_BDD[[#This Row],[Position]]="","",IF(Table_BDD[[#This Row],[Résultat]]="Perdant",1,0))</f>
        <v>0</v>
      </c>
      <c r="BK59" s="40"/>
      <c r="BL59" s="145">
        <f>IF(Table_BDD[[#This Row],[T / P]]="","",Table_BDD[[#This Row],[T / P]])</f>
        <v>29404.26</v>
      </c>
      <c r="BM59" s="147"/>
      <c r="BN59" s="147"/>
      <c r="BO59" s="147"/>
      <c r="BP59" s="147"/>
      <c r="BQ59" s="127"/>
    </row>
    <row r="60" spans="1:69" x14ac:dyDescent="0.2">
      <c r="A60" s="93">
        <v>43868.467789351853</v>
      </c>
      <c r="B60" s="94">
        <v>259594355</v>
      </c>
      <c r="C60" s="37" t="s">
        <v>8</v>
      </c>
      <c r="D60" s="37" t="s">
        <v>9</v>
      </c>
      <c r="E60" s="37">
        <v>0.5</v>
      </c>
      <c r="F60" s="95">
        <v>29252.94</v>
      </c>
      <c r="G60" s="95">
        <v>29254.44</v>
      </c>
      <c r="H60" s="95">
        <v>29282.94</v>
      </c>
      <c r="I60" s="28">
        <v>43868.468923611108</v>
      </c>
      <c r="J60" s="95">
        <v>29253.91</v>
      </c>
      <c r="K60" s="95">
        <v>0</v>
      </c>
      <c r="L60" s="95">
        <v>0</v>
      </c>
      <c r="M60" s="32">
        <v>0.45</v>
      </c>
      <c r="N60" s="148">
        <f>IF(Table_BDD[[#This Row],[Position]]="","",ROW()-3)</f>
        <v>57</v>
      </c>
      <c r="O60" s="32">
        <f>SUM($L$4:M60)</f>
        <v>33.390000000000022</v>
      </c>
      <c r="P60" s="32">
        <f>Table_BDD[[#This Row],[Equité avant trade]]+Table_BDD[[#This Row],[Profit]]+Table_BDD[[#This Row],[Echange]]</f>
        <v>1033.3900000000001</v>
      </c>
      <c r="Q60" s="52">
        <f>INT(Table_BDD[[#This Row],[Horodatage cloture]])</f>
        <v>43868</v>
      </c>
      <c r="R60" s="34">
        <f>WEEKNUM(Table_BDD[[#This Row],[Horodatage cloture]],2)</f>
        <v>6</v>
      </c>
      <c r="S60" s="61">
        <f>WEEKDAY(Table_BDD[[#This Row],[Horodatage cloture]])</f>
        <v>6</v>
      </c>
      <c r="T60" s="63">
        <f>HOUR(Table_BDD[[#This Row],[Horodatage cloture]])</f>
        <v>11</v>
      </c>
      <c r="U60" s="68">
        <f>IF(Table_BDD[[#This Row],[Position]]="","",IF(Table_BDD[[#This Row],[Valeur début de journée unique]]&lt;&gt;0,1,0))</f>
        <v>1</v>
      </c>
      <c r="V60" s="68">
        <f>IF(Table_BDD[[#This Row],[Nb de séance de trading]]=1,COUNTIF(Table_BDD[Date],Table_BDD[[#This Row],[Date]]),"")</f>
        <v>3</v>
      </c>
      <c r="W60" s="33">
        <f>IF(Table_BDD[[#This Row],[Position]]="","",IF(Table_BDD[[#This Row],[Type]]="buy",ROUND(Table_BDD[[#This Row],[Lvl Entrée]]-Table_BDD[[#This Row],[S / L]],1),ROUND(Table_BDD[[#This Row],[S / L]]-Table_BDD[[#This Row],[Lvl Entrée]],1)))</f>
        <v>-1.5</v>
      </c>
      <c r="X60" s="33">
        <f>IF(Table_BDD[[#This Row],[Position]]="","",IF(Table_BDD[[#This Row],[T / P]]=0,200,IF(Table_BDD[[#This Row],[Type]]="buy",ROUND(Table_BDD[[#This Row],[T / P]]-Table_BDD[[#This Row],[Lvl Entrée]],1),ROUND(Table_BDD[[#This Row],[Lvl Entrée]]-Table_BDD[[#This Row],[T / P]],1))))</f>
        <v>30</v>
      </c>
      <c r="Y60" s="34">
        <f>IF(Table_BDD[[#This Row],[Position]]="","",IF(Table_BDD[[#This Row],[Ecart du SL]]&gt;0,ROUND(ABS(Table_BDD[[#This Row],[Ecart du TP]])/ABS(Table_BDD[[#This Row],[Ecart du SL]]),1),ROUND(ABS(Table_BDD[[#This Row],[Ecart du TP]])/10,1)))</f>
        <v>3</v>
      </c>
      <c r="Z60" s="34">
        <f>IF(Table_BDD[[#This Row],[Position]]="","",IF(Table_BDD[[#This Row],[Ecart du SL]]&lt;0,IF(AND(Table_BDD[[#This Row],[Profit]]&gt;0,Table_BDD[[#This Row],[Type]]="sell"),ROUND((Table_BDD[[#This Row],[Lvl Entrée]]-Table_BDD[[#This Row],[Lvl Sortie]])/(10),1),IF(AND(Table_BDD[[#This Row],[Profit]]&gt;0,Table_BDD[[#This Row],[Type]]="buy"),ROUND((Table_BDD[[#This Row],[Lvl Sortie]]-Table_BDD[[#This Row],[Lvl Entrée]])/(10),1),)),IF(AND(Table_BDD[[#This Row],[Profit]]&gt;0,Table_BDD[[#This Row],[Type]]="sell"),ROUND((Table_BDD[[#This Row],[Lvl Entrée]]-Table_BDD[[#This Row],[Lvl Sortie]])/(Table_BDD[[#This Row],[S / L]]-Table_BDD[[#This Row],[Lvl Entrée]]),1),IF(AND(Table_BDD[[#This Row],[Profit]]&gt;0,Table_BDD[[#This Row],[Type]]="buy"),ROUND((Table_BDD[[#This Row],[Lvl Sortie]]-Table_BDD[[#This Row],[Lvl Entrée]])/(Table_BDD[[#This Row],[Lvl Entrée]]-Table_BDD[[#This Row],[S / L]]),1),ROUND(Table_BDD[[#This Row],[Points]]/10,1)))))</f>
        <v>0.1</v>
      </c>
      <c r="AA60" s="32">
        <f>IF(Table_BDD[[#This Row],[Position]]="",AA59,Table_BDD[[#This Row],[Equité après trade]]-Table_BDD[[#This Row],[Profit]]-Table_BDD[[#This Row],[Echange]])</f>
        <v>1032.94</v>
      </c>
      <c r="AB60" s="149">
        <f>$B$1+SUM($L$4:M60)</f>
        <v>1033.3900000000001</v>
      </c>
      <c r="AC60" s="150">
        <f>IF(Table_BDD[[#This Row],[Position]]="","",_xlfn.MINIFS(Table_BDD[Horodatage ouverture],Table_BDD[Date],Table_BDD[Date]))</f>
        <v>43868.467789351853</v>
      </c>
      <c r="AD60" s="149">
        <f>VLOOKUP(_xlfn.MINIFS(Table_BDD[Horodatage ouverture],Table_BDD[Date],Table_BDD[Date]),Table_BDD[[Horodatage ouverture]:[Heure derniere valeur]],AA$2)</f>
        <v>1032.94</v>
      </c>
      <c r="AE60" s="149">
        <f>IF(VLOOKUP(_xlfn.MINIFS(Table_BDD[Horodatage ouverture],Table_BDD[Date],Table_BDD[Date]),Table_BDD[[Horodatage ouverture]:[Heure derniere valeur]],AA$2)=Table_BDD[[#This Row],[Equité avant trade]],VLOOKUP(_xlfn.MINIFS(Table_BDD[Horodatage ouverture],Table_BDD[Date],Table_BDD[Date]),Table_BDD[[Horodatage ouverture]:[Heure derniere valeur]],AA$2),0)</f>
        <v>1032.94</v>
      </c>
      <c r="AF60" s="150">
        <f>IF(Table_BDD[[#This Row],[Position]]="","",_xlfn.MAXIFS(Table_BDD[Horodatage ouverture],Table_BDD[Date],Table_BDD[Date]))</f>
        <v>43868.609085648146</v>
      </c>
      <c r="AG60" s="32">
        <f>VLOOKUP(_xlfn.MAXIFS(Table_BDD[Horodatage cloture],Table_BDD[Date],Table_BDD[Date]),Table_BDD[[Horodatage ouverture]:[Heure derniere valeur]],AB$2)</f>
        <v>1047.8900000000001</v>
      </c>
      <c r="AH60" s="32">
        <f>IF(VLOOKUP(_xlfn.MAXIFS(Table_BDD[Horodatage cloture],Table_BDD[Date],Table_BDD[Date]),Table_BDD[[Horodatage ouverture]:[Heure derniere valeur]],AB$2)=Table_BDD[[#This Row],[Equité après trade]],VLOOKUP(_xlfn.MAXIFS(Table_BDD[Horodatage cloture],Table_BDD[Date],Table_BDD[Date]),Table_BDD[[Horodatage ouverture]:[Heure derniere valeur]],AB$2),0)</f>
        <v>0</v>
      </c>
      <c r="AI60" s="32" t="e">
        <f>IF(Table_BDD[[#This Row],[Valeur fin de journée unique]]=0,#N/A,Table_BDD[[#This Row],[Valeur fin de journée unique]])</f>
        <v>#N/A</v>
      </c>
      <c r="AJ60" s="35">
        <f>IF(Table_BDD[[#This Row],[Position]]="","",(Table_BDD[[#This Row],[Equité après trade]]-Table_BDD[[#This Row],[Equité avant trade]])/Table_BDD[[#This Row],[Equité avant trade]])</f>
        <v>4.3564969891769653E-4</v>
      </c>
      <c r="AK60" s="35">
        <f>IFERROR(((INDEX(Table_BDD[[Trade n°]:[Valeur fin de journée unique]],Table_BDD[[#This Row],[Nb de trade du jour]]+Table_BDD[[#This Row],[Trade n°]]-1,21))-Table_BDD[[#This Row],[Valeur début de journée unique]])/Table_BDD[[#This Row],[Valeur début de journée unique]],"")</f>
        <v>1.4473251108486499E-2</v>
      </c>
      <c r="AL60" s="32">
        <f>IF(Table_BDD[[#This Row],[Position]]="","",MAX(Table_BDD[[#This Row],[Cumul équité]],AL59))</f>
        <v>1033.3900000000001</v>
      </c>
      <c r="AM60" s="32">
        <f>IF(Table_BDD[[#This Row],[Position]]="","",MIN(Table_BDD[[#This Row],[Cumul équité]],AL59))</f>
        <v>1032.94</v>
      </c>
      <c r="AN60" s="97" t="str">
        <f>IF(Table_BDD[[#This Row],[Sommet Drawdown]]&gt;AL59,"",Table_BDD[[#This Row],[Creux Drawdown]]/Table_BDD[[#This Row],[Sommet Drawdown]]-1)</f>
        <v/>
      </c>
      <c r="AO60" s="36">
        <f>IF(Table_BDD[[#This Row],[Position]]="","",IF(Table_BDD[[#This Row],[Type]]="buy",ROUND(Table_BDD[[#This Row],[Lvl Sortie]]-Table_BDD[[#This Row],[Lvl Entrée]],1),ROUND(Table_BDD[[#This Row],[Lvl Entrée]]-Table_BDD[[#This Row],[Lvl Sortie]],1)))</f>
        <v>1</v>
      </c>
      <c r="AP60" s="36">
        <f>IF(Table_BDD[[#This Row],[Points]]&gt;0,Table_BDD[[#This Row],[Points]],"")</f>
        <v>1</v>
      </c>
      <c r="AQ60" s="36" t="str">
        <f>IF(Table_BDD[[#This Row],[Points]]&lt;0,Table_BDD[[#This Row],[Points]],"")</f>
        <v/>
      </c>
      <c r="AR60" s="36">
        <f>SUM($AO$4:AO60)</f>
        <v>73.000000000000014</v>
      </c>
      <c r="AS60" s="68">
        <f>IF(Table_BDD[[#This Row],[Position]]="","",IF(Table_BDD[[#This Row],[Conformité]]="Conforme",1,0))</f>
        <v>0</v>
      </c>
      <c r="AT60" s="68">
        <f>IF(Table_BDD[[#This Row],[Position]]="","",IF(Table_BDD[[#This Row],[Conformité]]="Non conforme",1,0))</f>
        <v>1</v>
      </c>
      <c r="AU60" s="37" t="s">
        <v>17</v>
      </c>
      <c r="AV60" s="37"/>
      <c r="AW60" s="37"/>
      <c r="AX60" s="37">
        <v>0</v>
      </c>
      <c r="AY60" s="37">
        <v>0</v>
      </c>
      <c r="AZ60" s="37">
        <v>0</v>
      </c>
      <c r="BA60" s="37" t="str">
        <f>IF(Table_BDD[[#This Row],[Position]]="","Sans objet",IF(AND(Table_BDD[[#This Row],[Type]]="sell",Table_BDD[[#This Row],[S / L]]&lt;Table_BDD[[#This Row],[Lvl Entrée]],Table_BDD[[#This Row],[Lvl Sortie]]&lt;=Table_BDD[[#This Row],[S / L]]+2,Table_BDD[[#This Row],[Lvl Sortie]]&lt;Table_BDD[[#This Row],[Lvl Entrée]]-19),"Oui",IF(AND(Table_BDD[[#This Row],[Type]]="buy",Table_BDD[[#This Row],[S / L]]&gt;Table_BDD[[#This Row],[Lvl Entrée]],Table_BDD[[#This Row],[Lvl Sortie]]&gt;=Table_BDD[[#This Row],[S / L]]-2,Table_BDD[[#This Row],[S / L]]&gt;Table_BDD[[#This Row],[Lvl Entrée]]+19),"Oui","Non")))</f>
        <v>Non</v>
      </c>
      <c r="BB60" s="37" t="str">
        <f>IF(Table_BDD[[#This Row],[Position]]="","Sans objet",IF(AND(Table_BDD[[#This Row],[Type]]="sell",Table_BDD[[#This Row],[S / L]]&lt;Table_BDD[[#This Row],[Lvl Entrée]],Table_BDD[[#This Row],[Points]]&gt;=-1),"Oui",IF(AND(Table_BDD[[#This Row],[Type]]="sell",Table_BDD[[#This Row],[S / L]]&gt;Table_BDD[[#This Row],[Lvl Entrée]]),"Non",IF(AND(Table_BDD[[#This Row],[Type]]="buy",Table_BDD[[#This Row],[S / L]]&lt;Table_BDD[[#This Row],[Lvl Entrée]]),"Non",IF(AND(Table_BDD[[#This Row],[Type]]="buy",Table_BDD[[#This Row],[S / L]]&gt;Table_BDD[[#This Row],[Lvl Entrée]],Table_BDD[[#This Row],[Points]]&gt;=-1),"Oui")))))</f>
        <v>Oui</v>
      </c>
      <c r="BC60" s="37" t="str">
        <f>IF(Table_BDD[[#This Row],[Position]]="","Sans objet",IF(Table_BDD[[#This Row],[T / P]]="","Non",IF(AND(Table_BDD[[#This Row],[Type]]="sell",Table_BDD[[#This Row],[Lvl Sortie]]&lt;=Table_BDD[[#This Row],[T / P]]),"Oui",IF(AND(Table_BDD[[#This Row],[Type]]="buy",Table_BDD[[#This Row],[Lvl Sortie]]&gt;=Table_BDD[[#This Row],[T / P]]),"Oui","Non"))))</f>
        <v>Non</v>
      </c>
      <c r="BD60" s="91">
        <f t="array" ref="BD60">IFERROR(INDEX(downloadFile[#All],MATCH(Table_BDD[[#This Row],[Date]],downloadFile[[#All],[Column1]],0),2),BD59)</f>
        <v>1.0969</v>
      </c>
      <c r="BE60" s="89">
        <f>IF(Table_BDD[[#This Row],[Position]]="","",IF(Table_BDD[[#This Row],[Symbole]]="UsaInd",(Table_BDD[[#This Row],[Volume]]*Table_BDD[[#This Row],[Lvl Entrée]])/(Table_BDD[[#This Row],[Equité avant trade]]*Table_BDD[[#This Row],[EUR/USD]]),IF(Table_BDD[[#This Row],[Symbole]]="Ger30",(Table_BDD[[#This Row],[Volume]]*Table_BDD[[#This Row],[Lvl Entrée]])/Table_BDD[[#This Row],[Equité avant trade]],)))</f>
        <v>12.909142435202392</v>
      </c>
      <c r="BF60" s="38">
        <f>IF(Table_BDD[[#This Row],[Position]]="","",IF(Table_BDD[[#This Row],[Conformité]]="Non conforme",0,(MROUND(3*((Table_BDD[[#This Row],[Conviction]]+Table_BDD[[#This Row],[Timing]]+Table_BDD[[#This Row],[Sortie]])+1)-2,1))))</f>
        <v>0</v>
      </c>
      <c r="BG60" s="38" t="str">
        <f>IF(Table_BDD[[#This Row],[Position]]="","",IF(Table_BDD[[#This Row],[Points]]&lt;-5,"--",IF(AND(Table_BDD[[#This Row],[Points]]&gt;=-5,Table_BDD[[#This Row],[Points]]&lt;-1.5),"-",IF(AND(Table_BDD[[#This Row],[Points]]&gt;=-1.5,Table_BDD[[#This Row],[Points]]&lt;1.5),"0",IF(AND(Table_BDD[[#This Row],[Points]]&gt;=1.5,Table_BDD[[#This Row],[Points]]&lt;=70),"+",IF(Table_BDD[[#This Row],[Points]]&gt;70,"++"))))))</f>
        <v>0</v>
      </c>
      <c r="BH60" s="37" t="str">
        <f>IF(Table_BDD[[#This Row],[Position]]="","",IF(Table_BDD[[#This Row],[Points]]&gt;0,"Gagnant",IF(Table_BDD[[#This Row],[Points]]=0,"Flat","Perdant")))</f>
        <v>Gagnant</v>
      </c>
      <c r="BI60" s="40">
        <f>IF(Table_BDD[[#This Row],[Position]]="","",IF(Table_BDD[[#This Row],[Résultat]]="Gagnant",1,0))</f>
        <v>1</v>
      </c>
      <c r="BJ60" s="40">
        <f>IF(Table_BDD[[#This Row],[Position]]="","",IF(Table_BDD[[#This Row],[Résultat]]="Perdant",1,0))</f>
        <v>0</v>
      </c>
      <c r="BK60" s="40"/>
      <c r="BL60" s="145">
        <f>IF(Table_BDD[[#This Row],[T / P]]="","",Table_BDD[[#This Row],[T / P]])</f>
        <v>29282.94</v>
      </c>
      <c r="BM60" s="147"/>
      <c r="BN60" s="147"/>
      <c r="BO60" s="147"/>
      <c r="BP60" s="147"/>
      <c r="BQ60" s="127"/>
    </row>
    <row r="61" spans="1:69" x14ac:dyDescent="0.2">
      <c r="A61" s="93">
        <v>43868.470208333332</v>
      </c>
      <c r="B61" s="94">
        <v>259594554</v>
      </c>
      <c r="C61" s="37" t="s">
        <v>8</v>
      </c>
      <c r="D61" s="37" t="s">
        <v>9</v>
      </c>
      <c r="E61" s="37">
        <v>0.5</v>
      </c>
      <c r="F61" s="95">
        <v>29251.66</v>
      </c>
      <c r="G61" s="95">
        <v>29242.66</v>
      </c>
      <c r="H61" s="95">
        <v>29302.66</v>
      </c>
      <c r="I61" s="28">
        <v>43868.471076388887</v>
      </c>
      <c r="J61" s="95">
        <v>29252.7</v>
      </c>
      <c r="K61" s="95">
        <v>0</v>
      </c>
      <c r="L61" s="95">
        <v>0</v>
      </c>
      <c r="M61" s="32">
        <v>0.47</v>
      </c>
      <c r="N61" s="148">
        <f>IF(Table_BDD[[#This Row],[Position]]="","",ROW()-3)</f>
        <v>58</v>
      </c>
      <c r="O61" s="32">
        <f>SUM($L$4:M61)</f>
        <v>33.860000000000021</v>
      </c>
      <c r="P61" s="32">
        <f>Table_BDD[[#This Row],[Equité avant trade]]+Table_BDD[[#This Row],[Profit]]+Table_BDD[[#This Row],[Echange]]</f>
        <v>1033.8600000000001</v>
      </c>
      <c r="Q61" s="52">
        <f>INT(Table_BDD[[#This Row],[Horodatage cloture]])</f>
        <v>43868</v>
      </c>
      <c r="R61" s="34">
        <f>WEEKNUM(Table_BDD[[#This Row],[Horodatage cloture]],2)</f>
        <v>6</v>
      </c>
      <c r="S61" s="61">
        <f>WEEKDAY(Table_BDD[[#This Row],[Horodatage cloture]])</f>
        <v>6</v>
      </c>
      <c r="T61" s="63">
        <f>HOUR(Table_BDD[[#This Row],[Horodatage cloture]])</f>
        <v>11</v>
      </c>
      <c r="U61" s="68">
        <f>IF(Table_BDD[[#This Row],[Position]]="","",IF(Table_BDD[[#This Row],[Valeur début de journée unique]]&lt;&gt;0,1,0))</f>
        <v>0</v>
      </c>
      <c r="V61" s="68" t="str">
        <f>IF(Table_BDD[[#This Row],[Nb de séance de trading]]=1,COUNTIF(Table_BDD[Date],Table_BDD[[#This Row],[Date]]),"")</f>
        <v/>
      </c>
      <c r="W61" s="33">
        <f>IF(Table_BDD[[#This Row],[Position]]="","",IF(Table_BDD[[#This Row],[Type]]="buy",ROUND(Table_BDD[[#This Row],[Lvl Entrée]]-Table_BDD[[#This Row],[S / L]],1),ROUND(Table_BDD[[#This Row],[S / L]]-Table_BDD[[#This Row],[Lvl Entrée]],1)))</f>
        <v>9</v>
      </c>
      <c r="X61" s="33">
        <f>IF(Table_BDD[[#This Row],[Position]]="","",IF(Table_BDD[[#This Row],[T / P]]=0,200,IF(Table_BDD[[#This Row],[Type]]="buy",ROUND(Table_BDD[[#This Row],[T / P]]-Table_BDD[[#This Row],[Lvl Entrée]],1),ROUND(Table_BDD[[#This Row],[Lvl Entrée]]-Table_BDD[[#This Row],[T / P]],1))))</f>
        <v>51</v>
      </c>
      <c r="Y61" s="34">
        <f>IF(Table_BDD[[#This Row],[Position]]="","",IF(Table_BDD[[#This Row],[Ecart du SL]]&gt;0,ROUND(ABS(Table_BDD[[#This Row],[Ecart du TP]])/ABS(Table_BDD[[#This Row],[Ecart du SL]]),1),ROUND(ABS(Table_BDD[[#This Row],[Ecart du TP]])/10,1)))</f>
        <v>5.7</v>
      </c>
      <c r="Z61" s="34">
        <f>IF(Table_BDD[[#This Row],[Position]]="","",IF(Table_BDD[[#This Row],[Ecart du SL]]&lt;0,IF(AND(Table_BDD[[#This Row],[Profit]]&gt;0,Table_BDD[[#This Row],[Type]]="sell"),ROUND((Table_BDD[[#This Row],[Lvl Entrée]]-Table_BDD[[#This Row],[Lvl Sortie]])/(10),1),IF(AND(Table_BDD[[#This Row],[Profit]]&gt;0,Table_BDD[[#This Row],[Type]]="buy"),ROUND((Table_BDD[[#This Row],[Lvl Sortie]]-Table_BDD[[#This Row],[Lvl Entrée]])/(10),1),)),IF(AND(Table_BDD[[#This Row],[Profit]]&gt;0,Table_BDD[[#This Row],[Type]]="sell"),ROUND((Table_BDD[[#This Row],[Lvl Entrée]]-Table_BDD[[#This Row],[Lvl Sortie]])/(Table_BDD[[#This Row],[S / L]]-Table_BDD[[#This Row],[Lvl Entrée]]),1),IF(AND(Table_BDD[[#This Row],[Profit]]&gt;0,Table_BDD[[#This Row],[Type]]="buy"),ROUND((Table_BDD[[#This Row],[Lvl Sortie]]-Table_BDD[[#This Row],[Lvl Entrée]])/(Table_BDD[[#This Row],[Lvl Entrée]]-Table_BDD[[#This Row],[S / L]]),1),ROUND(Table_BDD[[#This Row],[Points]]/10,1)))))</f>
        <v>0.1</v>
      </c>
      <c r="AA61" s="32">
        <f>IF(Table_BDD[[#This Row],[Position]]="",AA60,Table_BDD[[#This Row],[Equité après trade]]-Table_BDD[[#This Row],[Profit]]-Table_BDD[[#This Row],[Echange]])</f>
        <v>1033.3900000000001</v>
      </c>
      <c r="AB61" s="149">
        <f>$B$1+SUM($L$4:M61)</f>
        <v>1033.8600000000001</v>
      </c>
      <c r="AC61" s="150">
        <f>IF(Table_BDD[[#This Row],[Position]]="","",_xlfn.MINIFS(Table_BDD[Horodatage ouverture],Table_BDD[Date],Table_BDD[Date]))</f>
        <v>43868.467789351853</v>
      </c>
      <c r="AD61" s="149">
        <f>VLOOKUP(_xlfn.MINIFS(Table_BDD[Horodatage ouverture],Table_BDD[Date],Table_BDD[Date]),Table_BDD[[Horodatage ouverture]:[Heure derniere valeur]],AA$2)</f>
        <v>1032.94</v>
      </c>
      <c r="AE61" s="149">
        <f>IF(VLOOKUP(_xlfn.MINIFS(Table_BDD[Horodatage ouverture],Table_BDD[Date],Table_BDD[Date]),Table_BDD[[Horodatage ouverture]:[Heure derniere valeur]],AA$2)=Table_BDD[[#This Row],[Equité avant trade]],VLOOKUP(_xlfn.MINIFS(Table_BDD[Horodatage ouverture],Table_BDD[Date],Table_BDD[Date]),Table_BDD[[Horodatage ouverture]:[Heure derniere valeur]],AA$2),0)</f>
        <v>0</v>
      </c>
      <c r="AF61" s="150">
        <f>IF(Table_BDD[[#This Row],[Position]]="","",_xlfn.MAXIFS(Table_BDD[Horodatage ouverture],Table_BDD[Date],Table_BDD[Date]))</f>
        <v>43868.609085648146</v>
      </c>
      <c r="AG61" s="32">
        <f>VLOOKUP(_xlfn.MAXIFS(Table_BDD[Horodatage cloture],Table_BDD[Date],Table_BDD[Date]),Table_BDD[[Horodatage ouverture]:[Heure derniere valeur]],AB$2)</f>
        <v>1047.8900000000001</v>
      </c>
      <c r="AH61" s="32">
        <f>IF(VLOOKUP(_xlfn.MAXIFS(Table_BDD[Horodatage cloture],Table_BDD[Date],Table_BDD[Date]),Table_BDD[[Horodatage ouverture]:[Heure derniere valeur]],AB$2)=Table_BDD[[#This Row],[Equité après trade]],VLOOKUP(_xlfn.MAXIFS(Table_BDD[Horodatage cloture],Table_BDD[Date],Table_BDD[Date]),Table_BDD[[Horodatage ouverture]:[Heure derniere valeur]],AB$2),0)</f>
        <v>0</v>
      </c>
      <c r="AI61" s="32" t="e">
        <f>IF(Table_BDD[[#This Row],[Valeur fin de journée unique]]=0,#N/A,Table_BDD[[#This Row],[Valeur fin de journée unique]])</f>
        <v>#N/A</v>
      </c>
      <c r="AJ61" s="35">
        <f>IF(Table_BDD[[#This Row],[Position]]="","",(Table_BDD[[#This Row],[Equité après trade]]-Table_BDD[[#This Row],[Equité avant trade]])/Table_BDD[[#This Row],[Equité avant trade]])</f>
        <v>4.5481376827724985E-4</v>
      </c>
      <c r="AK61" s="35" t="str">
        <f>IFERROR(((INDEX(Table_BDD[[Trade n°]:[Valeur fin de journée unique]],Table_BDD[[#This Row],[Nb de trade du jour]]+Table_BDD[[#This Row],[Trade n°]]-1,21))-Table_BDD[[#This Row],[Valeur début de journée unique]])/Table_BDD[[#This Row],[Valeur début de journée unique]],"")</f>
        <v/>
      </c>
      <c r="AL61" s="32">
        <f>IF(Table_BDD[[#This Row],[Position]]="","",MAX(Table_BDD[[#This Row],[Cumul équité]],AL60))</f>
        <v>1033.8600000000001</v>
      </c>
      <c r="AM61" s="32">
        <f>IF(Table_BDD[[#This Row],[Position]]="","",MIN(Table_BDD[[#This Row],[Cumul équité]],AL60))</f>
        <v>1033.3900000000001</v>
      </c>
      <c r="AN61" s="97" t="str">
        <f>IF(Table_BDD[[#This Row],[Sommet Drawdown]]&gt;AL60,"",Table_BDD[[#This Row],[Creux Drawdown]]/Table_BDD[[#This Row],[Sommet Drawdown]]-1)</f>
        <v/>
      </c>
      <c r="AO61" s="36">
        <f>IF(Table_BDD[[#This Row],[Position]]="","",IF(Table_BDD[[#This Row],[Type]]="buy",ROUND(Table_BDD[[#This Row],[Lvl Sortie]]-Table_BDD[[#This Row],[Lvl Entrée]],1),ROUND(Table_BDD[[#This Row],[Lvl Entrée]]-Table_BDD[[#This Row],[Lvl Sortie]],1)))</f>
        <v>1</v>
      </c>
      <c r="AP61" s="36">
        <f>IF(Table_BDD[[#This Row],[Points]]&gt;0,Table_BDD[[#This Row],[Points]],"")</f>
        <v>1</v>
      </c>
      <c r="AQ61" s="36" t="str">
        <f>IF(Table_BDD[[#This Row],[Points]]&lt;0,Table_BDD[[#This Row],[Points]],"")</f>
        <v/>
      </c>
      <c r="AR61" s="36">
        <f>SUM($AO$4:AO61)</f>
        <v>74.000000000000014</v>
      </c>
      <c r="AS61" s="68">
        <f>IF(Table_BDD[[#This Row],[Position]]="","",IF(Table_BDD[[#This Row],[Conformité]]="Conforme",1,0))</f>
        <v>0</v>
      </c>
      <c r="AT61" s="68">
        <f>IF(Table_BDD[[#This Row],[Position]]="","",IF(Table_BDD[[#This Row],[Conformité]]="Non conforme",1,0))</f>
        <v>1</v>
      </c>
      <c r="AU61" s="37" t="s">
        <v>17</v>
      </c>
      <c r="AV61" s="37"/>
      <c r="AW61" s="37"/>
      <c r="AX61" s="37">
        <v>0</v>
      </c>
      <c r="AY61" s="37">
        <v>0</v>
      </c>
      <c r="AZ61" s="37">
        <v>0</v>
      </c>
      <c r="BA61" s="37" t="str">
        <f>IF(Table_BDD[[#This Row],[Position]]="","Sans objet",IF(AND(Table_BDD[[#This Row],[Type]]="sell",Table_BDD[[#This Row],[S / L]]&lt;Table_BDD[[#This Row],[Lvl Entrée]],Table_BDD[[#This Row],[Lvl Sortie]]&lt;=Table_BDD[[#This Row],[S / L]]+2,Table_BDD[[#This Row],[Lvl Sortie]]&lt;Table_BDD[[#This Row],[Lvl Entrée]]-19),"Oui",IF(AND(Table_BDD[[#This Row],[Type]]="buy",Table_BDD[[#This Row],[S / L]]&gt;Table_BDD[[#This Row],[Lvl Entrée]],Table_BDD[[#This Row],[Lvl Sortie]]&gt;=Table_BDD[[#This Row],[S / L]]-2,Table_BDD[[#This Row],[S / L]]&gt;Table_BDD[[#This Row],[Lvl Entrée]]+19),"Oui","Non")))</f>
        <v>Non</v>
      </c>
      <c r="BB61" s="37" t="str">
        <f>IF(Table_BDD[[#This Row],[Position]]="","Sans objet",IF(AND(Table_BDD[[#This Row],[Type]]="sell",Table_BDD[[#This Row],[S / L]]&lt;Table_BDD[[#This Row],[Lvl Entrée]],Table_BDD[[#This Row],[Points]]&gt;=-1),"Oui",IF(AND(Table_BDD[[#This Row],[Type]]="sell",Table_BDD[[#This Row],[S / L]]&gt;Table_BDD[[#This Row],[Lvl Entrée]]),"Non",IF(AND(Table_BDD[[#This Row],[Type]]="buy",Table_BDD[[#This Row],[S / L]]&lt;Table_BDD[[#This Row],[Lvl Entrée]]),"Non",IF(AND(Table_BDD[[#This Row],[Type]]="buy",Table_BDD[[#This Row],[S / L]]&gt;Table_BDD[[#This Row],[Lvl Entrée]],Table_BDD[[#This Row],[Points]]&gt;=-1),"Oui")))))</f>
        <v>Non</v>
      </c>
      <c r="BC61" s="37" t="str">
        <f>IF(Table_BDD[[#This Row],[Position]]="","Sans objet",IF(Table_BDD[[#This Row],[T / P]]="","Non",IF(AND(Table_BDD[[#This Row],[Type]]="sell",Table_BDD[[#This Row],[Lvl Sortie]]&lt;=Table_BDD[[#This Row],[T / P]]),"Oui",IF(AND(Table_BDD[[#This Row],[Type]]="buy",Table_BDD[[#This Row],[Lvl Sortie]]&gt;=Table_BDD[[#This Row],[T / P]]),"Oui","Non"))))</f>
        <v>Non</v>
      </c>
      <c r="BD61" s="91">
        <f t="array" ref="BD61">IFERROR(INDEX(downloadFile[#All],MATCH(Table_BDD[[#This Row],[Date]],downloadFile[[#All],[Column1]],0),2),BD60)</f>
        <v>1.0969</v>
      </c>
      <c r="BE61" s="89">
        <f>IF(Table_BDD[[#This Row],[Position]]="","",IF(Table_BDD[[#This Row],[Symbole]]="UsaInd",(Table_BDD[[#This Row],[Volume]]*Table_BDD[[#This Row],[Lvl Entrée]])/(Table_BDD[[#This Row],[Equité avant trade]]*Table_BDD[[#This Row],[EUR/USD]]),IF(Table_BDD[[#This Row],[Symbole]]="Ger30",(Table_BDD[[#This Row],[Volume]]*Table_BDD[[#This Row],[Lvl Entrée]])/Table_BDD[[#This Row],[Equité avant trade]],)))</f>
        <v>12.90295641000278</v>
      </c>
      <c r="BF61" s="38">
        <f>IF(Table_BDD[[#This Row],[Position]]="","",IF(Table_BDD[[#This Row],[Conformité]]="Non conforme",0,(MROUND(3*((Table_BDD[[#This Row],[Conviction]]+Table_BDD[[#This Row],[Timing]]+Table_BDD[[#This Row],[Sortie]])+1)-2,1))))</f>
        <v>0</v>
      </c>
      <c r="BG61" s="38" t="str">
        <f>IF(Table_BDD[[#This Row],[Position]]="","",IF(Table_BDD[[#This Row],[Points]]&lt;-5,"--",IF(AND(Table_BDD[[#This Row],[Points]]&gt;=-5,Table_BDD[[#This Row],[Points]]&lt;-1.5),"-",IF(AND(Table_BDD[[#This Row],[Points]]&gt;=-1.5,Table_BDD[[#This Row],[Points]]&lt;1.5),"0",IF(AND(Table_BDD[[#This Row],[Points]]&gt;=1.5,Table_BDD[[#This Row],[Points]]&lt;=70),"+",IF(Table_BDD[[#This Row],[Points]]&gt;70,"++"))))))</f>
        <v>0</v>
      </c>
      <c r="BH61" s="37" t="str">
        <f>IF(Table_BDD[[#This Row],[Position]]="","",IF(Table_BDD[[#This Row],[Points]]&gt;0,"Gagnant",IF(Table_BDD[[#This Row],[Points]]=0,"Flat","Perdant")))</f>
        <v>Gagnant</v>
      </c>
      <c r="BI61" s="40">
        <f>IF(Table_BDD[[#This Row],[Position]]="","",IF(Table_BDD[[#This Row],[Résultat]]="Gagnant",1,0))</f>
        <v>1</v>
      </c>
      <c r="BJ61" s="40">
        <f>IF(Table_BDD[[#This Row],[Position]]="","",IF(Table_BDD[[#This Row],[Résultat]]="Perdant",1,0))</f>
        <v>0</v>
      </c>
      <c r="BK61" s="40"/>
      <c r="BL61" s="145">
        <f>IF(Table_BDD[[#This Row],[T / P]]="","",Table_BDD[[#This Row],[T / P]])</f>
        <v>29302.66</v>
      </c>
      <c r="BM61" s="147"/>
      <c r="BN61" s="147"/>
      <c r="BO61" s="147"/>
      <c r="BP61" s="147"/>
      <c r="BQ61" s="127"/>
    </row>
    <row r="62" spans="1:69" x14ac:dyDescent="0.2">
      <c r="A62" s="93">
        <v>43868.609085648146</v>
      </c>
      <c r="B62" s="94">
        <v>259607652</v>
      </c>
      <c r="C62" s="37" t="s">
        <v>8</v>
      </c>
      <c r="D62" s="37" t="s">
        <v>9</v>
      </c>
      <c r="E62" s="37">
        <v>0.5</v>
      </c>
      <c r="F62" s="95">
        <v>29248.17</v>
      </c>
      <c r="G62" s="95">
        <v>29249.67</v>
      </c>
      <c r="H62" s="95">
        <v>29278.17</v>
      </c>
      <c r="I62" s="28">
        <v>43868.61074074074</v>
      </c>
      <c r="J62" s="95">
        <v>29278.95</v>
      </c>
      <c r="K62" s="95">
        <v>0</v>
      </c>
      <c r="L62" s="95">
        <v>0</v>
      </c>
      <c r="M62" s="32">
        <v>14.03</v>
      </c>
      <c r="N62" s="148">
        <f>IF(Table_BDD[[#This Row],[Position]]="","",ROW()-3)</f>
        <v>59</v>
      </c>
      <c r="O62" s="32">
        <f>SUM($L$4:M62)</f>
        <v>47.890000000000022</v>
      </c>
      <c r="P62" s="32">
        <f>Table_BDD[[#This Row],[Equité avant trade]]+Table_BDD[[#This Row],[Profit]]+Table_BDD[[#This Row],[Echange]]</f>
        <v>1047.8900000000001</v>
      </c>
      <c r="Q62" s="52">
        <f>INT(Table_BDD[[#This Row],[Horodatage cloture]])</f>
        <v>43868</v>
      </c>
      <c r="R62" s="34">
        <f>WEEKNUM(Table_BDD[[#This Row],[Horodatage cloture]],2)</f>
        <v>6</v>
      </c>
      <c r="S62" s="61">
        <f>WEEKDAY(Table_BDD[[#This Row],[Horodatage cloture]])</f>
        <v>6</v>
      </c>
      <c r="T62" s="63">
        <f>HOUR(Table_BDD[[#This Row],[Horodatage cloture]])</f>
        <v>14</v>
      </c>
      <c r="U62" s="68">
        <f>IF(Table_BDD[[#This Row],[Position]]="","",IF(Table_BDD[[#This Row],[Valeur début de journée unique]]&lt;&gt;0,1,0))</f>
        <v>0</v>
      </c>
      <c r="V62" s="68" t="str">
        <f>IF(Table_BDD[[#This Row],[Nb de séance de trading]]=1,COUNTIF(Table_BDD[Date],Table_BDD[[#This Row],[Date]]),"")</f>
        <v/>
      </c>
      <c r="W62" s="33">
        <f>IF(Table_BDD[[#This Row],[Position]]="","",IF(Table_BDD[[#This Row],[Type]]="buy",ROUND(Table_BDD[[#This Row],[Lvl Entrée]]-Table_BDD[[#This Row],[S / L]],1),ROUND(Table_BDD[[#This Row],[S / L]]-Table_BDD[[#This Row],[Lvl Entrée]],1)))</f>
        <v>-1.5</v>
      </c>
      <c r="X62" s="33">
        <f>IF(Table_BDD[[#This Row],[Position]]="","",IF(Table_BDD[[#This Row],[T / P]]=0,200,IF(Table_BDD[[#This Row],[Type]]="buy",ROUND(Table_BDD[[#This Row],[T / P]]-Table_BDD[[#This Row],[Lvl Entrée]],1),ROUND(Table_BDD[[#This Row],[Lvl Entrée]]-Table_BDD[[#This Row],[T / P]],1))))</f>
        <v>30</v>
      </c>
      <c r="Y62" s="34">
        <f>IF(Table_BDD[[#This Row],[Position]]="","",IF(Table_BDD[[#This Row],[Ecart du SL]]&gt;0,ROUND(ABS(Table_BDD[[#This Row],[Ecart du TP]])/ABS(Table_BDD[[#This Row],[Ecart du SL]]),1),ROUND(ABS(Table_BDD[[#This Row],[Ecart du TP]])/10,1)))</f>
        <v>3</v>
      </c>
      <c r="Z62" s="34">
        <f>IF(Table_BDD[[#This Row],[Position]]="","",IF(Table_BDD[[#This Row],[Ecart du SL]]&lt;0,IF(AND(Table_BDD[[#This Row],[Profit]]&gt;0,Table_BDD[[#This Row],[Type]]="sell"),ROUND((Table_BDD[[#This Row],[Lvl Entrée]]-Table_BDD[[#This Row],[Lvl Sortie]])/(10),1),IF(AND(Table_BDD[[#This Row],[Profit]]&gt;0,Table_BDD[[#This Row],[Type]]="buy"),ROUND((Table_BDD[[#This Row],[Lvl Sortie]]-Table_BDD[[#This Row],[Lvl Entrée]])/(10),1),)),IF(AND(Table_BDD[[#This Row],[Profit]]&gt;0,Table_BDD[[#This Row],[Type]]="sell"),ROUND((Table_BDD[[#This Row],[Lvl Entrée]]-Table_BDD[[#This Row],[Lvl Sortie]])/(Table_BDD[[#This Row],[S / L]]-Table_BDD[[#This Row],[Lvl Entrée]]),1),IF(AND(Table_BDD[[#This Row],[Profit]]&gt;0,Table_BDD[[#This Row],[Type]]="buy"),ROUND((Table_BDD[[#This Row],[Lvl Sortie]]-Table_BDD[[#This Row],[Lvl Entrée]])/(Table_BDD[[#This Row],[Lvl Entrée]]-Table_BDD[[#This Row],[S / L]]),1),ROUND(Table_BDD[[#This Row],[Points]]/10,1)))))</f>
        <v>3.1</v>
      </c>
      <c r="AA62" s="32">
        <f>IF(Table_BDD[[#This Row],[Position]]="",AA61,Table_BDD[[#This Row],[Equité après trade]]-Table_BDD[[#This Row],[Profit]]-Table_BDD[[#This Row],[Echange]])</f>
        <v>1033.8600000000001</v>
      </c>
      <c r="AB62" s="149">
        <f>$B$1+SUM($L$4:M62)</f>
        <v>1047.8900000000001</v>
      </c>
      <c r="AC62" s="150">
        <f>IF(Table_BDD[[#This Row],[Position]]="","",_xlfn.MINIFS(Table_BDD[Horodatage ouverture],Table_BDD[Date],Table_BDD[Date]))</f>
        <v>43868.467789351853</v>
      </c>
      <c r="AD62" s="149">
        <f>VLOOKUP(_xlfn.MINIFS(Table_BDD[Horodatage ouverture],Table_BDD[Date],Table_BDD[Date]),Table_BDD[[Horodatage ouverture]:[Heure derniere valeur]],AA$2)</f>
        <v>1032.94</v>
      </c>
      <c r="AE62" s="149">
        <f>IF(VLOOKUP(_xlfn.MINIFS(Table_BDD[Horodatage ouverture],Table_BDD[Date],Table_BDD[Date]),Table_BDD[[Horodatage ouverture]:[Heure derniere valeur]],AA$2)=Table_BDD[[#This Row],[Equité avant trade]],VLOOKUP(_xlfn.MINIFS(Table_BDD[Horodatage ouverture],Table_BDD[Date],Table_BDD[Date]),Table_BDD[[Horodatage ouverture]:[Heure derniere valeur]],AA$2),0)</f>
        <v>0</v>
      </c>
      <c r="AF62" s="150">
        <f>IF(Table_BDD[[#This Row],[Position]]="","",_xlfn.MAXIFS(Table_BDD[Horodatage ouverture],Table_BDD[Date],Table_BDD[Date]))</f>
        <v>43868.609085648146</v>
      </c>
      <c r="AG62" s="32">
        <f>VLOOKUP(_xlfn.MAXIFS(Table_BDD[Horodatage cloture],Table_BDD[Date],Table_BDD[Date]),Table_BDD[[Horodatage ouverture]:[Heure derniere valeur]],AB$2)</f>
        <v>1047.8900000000001</v>
      </c>
      <c r="AH62" s="32">
        <f>IF(VLOOKUP(_xlfn.MAXIFS(Table_BDD[Horodatage cloture],Table_BDD[Date],Table_BDD[Date]),Table_BDD[[Horodatage ouverture]:[Heure derniere valeur]],AB$2)=Table_BDD[[#This Row],[Equité après trade]],VLOOKUP(_xlfn.MAXIFS(Table_BDD[Horodatage cloture],Table_BDD[Date],Table_BDD[Date]),Table_BDD[[Horodatage ouverture]:[Heure derniere valeur]],AB$2),0)</f>
        <v>1047.8900000000001</v>
      </c>
      <c r="AI62" s="32">
        <f>IF(Table_BDD[[#This Row],[Valeur fin de journée unique]]=0,#N/A,Table_BDD[[#This Row],[Valeur fin de journée unique]])</f>
        <v>1047.8900000000001</v>
      </c>
      <c r="AJ62" s="35">
        <f>IF(Table_BDD[[#This Row],[Position]]="","",(Table_BDD[[#This Row],[Equité après trade]]-Table_BDD[[#This Row],[Equité avant trade]])/Table_BDD[[#This Row],[Equité avant trade]])</f>
        <v>1.357050277600446E-2</v>
      </c>
      <c r="AK62" s="35" t="str">
        <f>IFERROR(((INDEX(Table_BDD[[Trade n°]:[Valeur fin de journée unique]],Table_BDD[[#This Row],[Nb de trade du jour]]+Table_BDD[[#This Row],[Trade n°]]-1,21))-Table_BDD[[#This Row],[Valeur début de journée unique]])/Table_BDD[[#This Row],[Valeur début de journée unique]],"")</f>
        <v/>
      </c>
      <c r="AL62" s="32">
        <f>IF(Table_BDD[[#This Row],[Position]]="","",MAX(Table_BDD[[#This Row],[Cumul équité]],AL61))</f>
        <v>1047.8900000000001</v>
      </c>
      <c r="AM62" s="32">
        <f>IF(Table_BDD[[#This Row],[Position]]="","",MIN(Table_BDD[[#This Row],[Cumul équité]],AL61))</f>
        <v>1033.8600000000001</v>
      </c>
      <c r="AN62" s="97" t="str">
        <f>IF(Table_BDD[[#This Row],[Sommet Drawdown]]&gt;AL61,"",Table_BDD[[#This Row],[Creux Drawdown]]/Table_BDD[[#This Row],[Sommet Drawdown]]-1)</f>
        <v/>
      </c>
      <c r="AO62" s="36">
        <f>IF(Table_BDD[[#This Row],[Position]]="","",IF(Table_BDD[[#This Row],[Type]]="buy",ROUND(Table_BDD[[#This Row],[Lvl Sortie]]-Table_BDD[[#This Row],[Lvl Entrée]],1),ROUND(Table_BDD[[#This Row],[Lvl Entrée]]-Table_BDD[[#This Row],[Lvl Sortie]],1)))</f>
        <v>30.8</v>
      </c>
      <c r="AP62" s="36">
        <f>IF(Table_BDD[[#This Row],[Points]]&gt;0,Table_BDD[[#This Row],[Points]],"")</f>
        <v>30.8</v>
      </c>
      <c r="AQ62" s="36" t="str">
        <f>IF(Table_BDD[[#This Row],[Points]]&lt;0,Table_BDD[[#This Row],[Points]],"")</f>
        <v/>
      </c>
      <c r="AR62" s="36">
        <f>SUM($AO$4:AO62)</f>
        <v>104.80000000000001</v>
      </c>
      <c r="AS62" s="68">
        <f>IF(Table_BDD[[#This Row],[Position]]="","",IF(Table_BDD[[#This Row],[Conformité]]="Conforme",1,0))</f>
        <v>0</v>
      </c>
      <c r="AT62" s="68">
        <f>IF(Table_BDD[[#This Row],[Position]]="","",IF(Table_BDD[[#This Row],[Conformité]]="Non conforme",1,0))</f>
        <v>1</v>
      </c>
      <c r="AU62" s="37" t="s">
        <v>17</v>
      </c>
      <c r="AV62" s="37"/>
      <c r="AW62" s="37"/>
      <c r="AX62" s="37">
        <v>0</v>
      </c>
      <c r="AY62" s="37">
        <v>0</v>
      </c>
      <c r="AZ62" s="37">
        <v>0</v>
      </c>
      <c r="BA62" s="37" t="str">
        <f>IF(Table_BDD[[#This Row],[Position]]="","Sans objet",IF(AND(Table_BDD[[#This Row],[Type]]="sell",Table_BDD[[#This Row],[S / L]]&lt;Table_BDD[[#This Row],[Lvl Entrée]],Table_BDD[[#This Row],[Lvl Sortie]]&lt;=Table_BDD[[#This Row],[S / L]]+2,Table_BDD[[#This Row],[Lvl Sortie]]&lt;Table_BDD[[#This Row],[Lvl Entrée]]-19),"Oui",IF(AND(Table_BDD[[#This Row],[Type]]="buy",Table_BDD[[#This Row],[S / L]]&gt;Table_BDD[[#This Row],[Lvl Entrée]],Table_BDD[[#This Row],[Lvl Sortie]]&gt;=Table_BDD[[#This Row],[S / L]]-2,Table_BDD[[#This Row],[S / L]]&gt;Table_BDD[[#This Row],[Lvl Entrée]]+19),"Oui","Non")))</f>
        <v>Non</v>
      </c>
      <c r="BB62" s="37" t="str">
        <f>IF(Table_BDD[[#This Row],[Position]]="","Sans objet",IF(AND(Table_BDD[[#This Row],[Type]]="sell",Table_BDD[[#This Row],[S / L]]&lt;Table_BDD[[#This Row],[Lvl Entrée]],Table_BDD[[#This Row],[Points]]&gt;=-1),"Oui",IF(AND(Table_BDD[[#This Row],[Type]]="sell",Table_BDD[[#This Row],[S / L]]&gt;Table_BDD[[#This Row],[Lvl Entrée]]),"Non",IF(AND(Table_BDD[[#This Row],[Type]]="buy",Table_BDD[[#This Row],[S / L]]&lt;Table_BDD[[#This Row],[Lvl Entrée]]),"Non",IF(AND(Table_BDD[[#This Row],[Type]]="buy",Table_BDD[[#This Row],[S / L]]&gt;Table_BDD[[#This Row],[Lvl Entrée]],Table_BDD[[#This Row],[Points]]&gt;=-1),"Oui")))))</f>
        <v>Oui</v>
      </c>
      <c r="BC62" s="37" t="str">
        <f>IF(Table_BDD[[#This Row],[Position]]="","Sans objet",IF(Table_BDD[[#This Row],[T / P]]="","Non",IF(AND(Table_BDD[[#This Row],[Type]]="sell",Table_BDD[[#This Row],[Lvl Sortie]]&lt;=Table_BDD[[#This Row],[T / P]]),"Oui",IF(AND(Table_BDD[[#This Row],[Type]]="buy",Table_BDD[[#This Row],[Lvl Sortie]]&gt;=Table_BDD[[#This Row],[T / P]]),"Oui","Non"))))</f>
        <v>Oui</v>
      </c>
      <c r="BD62" s="91">
        <f t="array" ref="BD62">IFERROR(INDEX(downloadFile[#All],MATCH(Table_BDD[[#This Row],[Date]],downloadFile[[#All],[Column1]],0),2),BD61)</f>
        <v>1.0969</v>
      </c>
      <c r="BE62" s="89">
        <f>IF(Table_BDD[[#This Row],[Position]]="","",IF(Table_BDD[[#This Row],[Symbole]]="UsaInd",(Table_BDD[[#This Row],[Volume]]*Table_BDD[[#This Row],[Lvl Entrée]])/(Table_BDD[[#This Row],[Equité avant trade]]*Table_BDD[[#This Row],[EUR/USD]]),IF(Table_BDD[[#This Row],[Symbole]]="Ger30",(Table_BDD[[#This Row],[Volume]]*Table_BDD[[#This Row],[Lvl Entrée]])/Table_BDD[[#This Row],[Equité avant trade]],)))</f>
        <v>12.89555189058529</v>
      </c>
      <c r="BF62" s="38">
        <f>IF(Table_BDD[[#This Row],[Position]]="","",IF(Table_BDD[[#This Row],[Conformité]]="Non conforme",0,(MROUND(3*((Table_BDD[[#This Row],[Conviction]]+Table_BDD[[#This Row],[Timing]]+Table_BDD[[#This Row],[Sortie]])+1)-2,1))))</f>
        <v>0</v>
      </c>
      <c r="BG62" s="38" t="str">
        <f>IF(Table_BDD[[#This Row],[Position]]="","",IF(Table_BDD[[#This Row],[Points]]&lt;-5,"--",IF(AND(Table_BDD[[#This Row],[Points]]&gt;=-5,Table_BDD[[#This Row],[Points]]&lt;-1.5),"-",IF(AND(Table_BDD[[#This Row],[Points]]&gt;=-1.5,Table_BDD[[#This Row],[Points]]&lt;1.5),"0",IF(AND(Table_BDD[[#This Row],[Points]]&gt;=1.5,Table_BDD[[#This Row],[Points]]&lt;=70),"+",IF(Table_BDD[[#This Row],[Points]]&gt;70,"++"))))))</f>
        <v>+</v>
      </c>
      <c r="BH62" s="37" t="str">
        <f>IF(Table_BDD[[#This Row],[Position]]="","",IF(Table_BDD[[#This Row],[Points]]&gt;0,"Gagnant",IF(Table_BDD[[#This Row],[Points]]=0,"Flat","Perdant")))</f>
        <v>Gagnant</v>
      </c>
      <c r="BI62" s="40">
        <f>IF(Table_BDD[[#This Row],[Position]]="","",IF(Table_BDD[[#This Row],[Résultat]]="Gagnant",1,0))</f>
        <v>1</v>
      </c>
      <c r="BJ62" s="40">
        <f>IF(Table_BDD[[#This Row],[Position]]="","",IF(Table_BDD[[#This Row],[Résultat]]="Perdant",1,0))</f>
        <v>0</v>
      </c>
      <c r="BK62" s="40"/>
      <c r="BL62" s="145">
        <f>IF(Table_BDD[[#This Row],[T / P]]="","",Table_BDD[[#This Row],[T / P]])</f>
        <v>29278.17</v>
      </c>
      <c r="BM62" s="147"/>
      <c r="BN62" s="147"/>
      <c r="BO62" s="147"/>
      <c r="BP62" s="147"/>
      <c r="BQ62" s="127"/>
    </row>
    <row r="63" spans="1:69" x14ac:dyDescent="0.2">
      <c r="A63" s="93">
        <v>43871.627708333333</v>
      </c>
      <c r="B63" s="94">
        <v>259684489</v>
      </c>
      <c r="C63" s="37" t="s">
        <v>8</v>
      </c>
      <c r="D63" s="37" t="s">
        <v>9</v>
      </c>
      <c r="E63" s="37">
        <v>0.5</v>
      </c>
      <c r="F63" s="95">
        <v>29007.78</v>
      </c>
      <c r="G63" s="95">
        <v>28997.78</v>
      </c>
      <c r="H63" s="95"/>
      <c r="I63" s="93">
        <v>43871.628564814811</v>
      </c>
      <c r="J63" s="95">
        <v>28997.77</v>
      </c>
      <c r="K63" s="95">
        <v>0</v>
      </c>
      <c r="L63" s="95">
        <v>0</v>
      </c>
      <c r="M63" s="32">
        <v>-4.58</v>
      </c>
      <c r="N63" s="148">
        <f>IF(Table_BDD[[#This Row],[Position]]="","",ROW()-3)</f>
        <v>60</v>
      </c>
      <c r="O63" s="32">
        <f>SUM($L$4:M63)</f>
        <v>43.310000000000024</v>
      </c>
      <c r="P63" s="32">
        <f>Table_BDD[[#This Row],[Equité avant trade]]+Table_BDD[[#This Row],[Profit]]+Table_BDD[[#This Row],[Echange]]</f>
        <v>1043.31</v>
      </c>
      <c r="Q63" s="52">
        <f>INT(Table_BDD[[#This Row],[Horodatage cloture]])</f>
        <v>43871</v>
      </c>
      <c r="R63" s="34">
        <f>WEEKNUM(Table_BDD[[#This Row],[Horodatage cloture]],2)</f>
        <v>7</v>
      </c>
      <c r="S63" s="61">
        <f>WEEKDAY(Table_BDD[[#This Row],[Horodatage cloture]])</f>
        <v>2</v>
      </c>
      <c r="T63" s="63">
        <f>HOUR(Table_BDD[[#This Row],[Horodatage cloture]])</f>
        <v>15</v>
      </c>
      <c r="U63" s="68">
        <f>IF(Table_BDD[[#This Row],[Position]]="","",IF(Table_BDD[[#This Row],[Valeur début de journée unique]]&lt;&gt;0,1,0))</f>
        <v>1</v>
      </c>
      <c r="V63" s="68">
        <f>IF(Table_BDD[[#This Row],[Nb de séance de trading]]=1,COUNTIF(Table_BDD[Date],Table_BDD[[#This Row],[Date]]),"")</f>
        <v>19</v>
      </c>
      <c r="W63" s="33">
        <f>IF(Table_BDD[[#This Row],[Position]]="","",IF(Table_BDD[[#This Row],[Type]]="buy",ROUND(Table_BDD[[#This Row],[Lvl Entrée]]-Table_BDD[[#This Row],[S / L]],1),ROUND(Table_BDD[[#This Row],[S / L]]-Table_BDD[[#This Row],[Lvl Entrée]],1)))</f>
        <v>10</v>
      </c>
      <c r="X63" s="33">
        <f>IF(Table_BDD[[#This Row],[Position]]="","",IF(Table_BDD[[#This Row],[T / P]]=0,200,IF(Table_BDD[[#This Row],[Type]]="buy",ROUND(Table_BDD[[#This Row],[T / P]]-Table_BDD[[#This Row],[Lvl Entrée]],1),ROUND(Table_BDD[[#This Row],[Lvl Entrée]]-Table_BDD[[#This Row],[T / P]],1))))</f>
        <v>200</v>
      </c>
      <c r="Y63" s="34">
        <f>IF(Table_BDD[[#This Row],[Position]]="","",IF(Table_BDD[[#This Row],[Ecart du SL]]&gt;0,ROUND(ABS(Table_BDD[[#This Row],[Ecart du TP]])/ABS(Table_BDD[[#This Row],[Ecart du SL]]),1),ROUND(ABS(Table_BDD[[#This Row],[Ecart du TP]])/10,1)))</f>
        <v>20</v>
      </c>
      <c r="Z63" s="34">
        <f>IF(Table_BDD[[#This Row],[Position]]="","",IF(Table_BDD[[#This Row],[Ecart du SL]]&lt;0,IF(AND(Table_BDD[[#This Row],[Profit]]&gt;0,Table_BDD[[#This Row],[Type]]="sell"),ROUND((Table_BDD[[#This Row],[Lvl Entrée]]-Table_BDD[[#This Row],[Lvl Sortie]])/(10),1),IF(AND(Table_BDD[[#This Row],[Profit]]&gt;0,Table_BDD[[#This Row],[Type]]="buy"),ROUND((Table_BDD[[#This Row],[Lvl Sortie]]-Table_BDD[[#This Row],[Lvl Entrée]])/(10),1),)),IF(AND(Table_BDD[[#This Row],[Profit]]&gt;0,Table_BDD[[#This Row],[Type]]="sell"),ROUND((Table_BDD[[#This Row],[Lvl Entrée]]-Table_BDD[[#This Row],[Lvl Sortie]])/(Table_BDD[[#This Row],[S / L]]-Table_BDD[[#This Row],[Lvl Entrée]]),1),IF(AND(Table_BDD[[#This Row],[Profit]]&gt;0,Table_BDD[[#This Row],[Type]]="buy"),ROUND((Table_BDD[[#This Row],[Lvl Sortie]]-Table_BDD[[#This Row],[Lvl Entrée]])/(Table_BDD[[#This Row],[Lvl Entrée]]-Table_BDD[[#This Row],[S / L]]),1),ROUND(Table_BDD[[#This Row],[Points]]/10,1)))))</f>
        <v>-1</v>
      </c>
      <c r="AA63" s="32">
        <f>IF(Table_BDD[[#This Row],[Position]]="",AA62,Table_BDD[[#This Row],[Equité après trade]]-Table_BDD[[#This Row],[Profit]]-Table_BDD[[#This Row],[Echange]])</f>
        <v>1047.8899999999999</v>
      </c>
      <c r="AB63" s="149">
        <f>$B$1+SUM($L$4:M63)</f>
        <v>1043.31</v>
      </c>
      <c r="AC63" s="150">
        <f>IF(Table_BDD[[#This Row],[Position]]="","",_xlfn.MINIFS(Table_BDD[Horodatage ouverture],Table_BDD[Date],Table_BDD[Date]))</f>
        <v>43871.627708333333</v>
      </c>
      <c r="AD63" s="149">
        <f>VLOOKUP(_xlfn.MINIFS(Table_BDD[Horodatage ouverture],Table_BDD[Date],Table_BDD[Date]),Table_BDD[[Horodatage ouverture]:[Heure derniere valeur]],AA$2)</f>
        <v>1047.8899999999999</v>
      </c>
      <c r="AE63" s="149">
        <f>IF(VLOOKUP(_xlfn.MINIFS(Table_BDD[Horodatage ouverture],Table_BDD[Date],Table_BDD[Date]),Table_BDD[[Horodatage ouverture]:[Heure derniere valeur]],AA$2)=Table_BDD[[#This Row],[Equité avant trade]],VLOOKUP(_xlfn.MINIFS(Table_BDD[Horodatage ouverture],Table_BDD[Date],Table_BDD[Date]),Table_BDD[[Horodatage ouverture]:[Heure derniere valeur]],AA$2),0)</f>
        <v>1047.8899999999999</v>
      </c>
      <c r="AF63" s="150">
        <f>IF(Table_BDD[[#This Row],[Position]]="","",_xlfn.MAXIFS(Table_BDD[Horodatage ouverture],Table_BDD[Date],Table_BDD[Date]))</f>
        <v>43871.914259259262</v>
      </c>
      <c r="AG63" s="32">
        <f>VLOOKUP(_xlfn.MAXIFS(Table_BDD[Horodatage cloture],Table_BDD[Date],Table_BDD[Date]),Table_BDD[[Horodatage ouverture]:[Heure derniere valeur]],AB$2)</f>
        <v>984.33</v>
      </c>
      <c r="AH63" s="32">
        <f>IF(VLOOKUP(_xlfn.MAXIFS(Table_BDD[Horodatage cloture],Table_BDD[Date],Table_BDD[Date]),Table_BDD[[Horodatage ouverture]:[Heure derniere valeur]],AB$2)=Table_BDD[[#This Row],[Equité après trade]],VLOOKUP(_xlfn.MAXIFS(Table_BDD[Horodatage cloture],Table_BDD[Date],Table_BDD[Date]),Table_BDD[[Horodatage ouverture]:[Heure derniere valeur]],AB$2),0)</f>
        <v>0</v>
      </c>
      <c r="AI63" s="32" t="e">
        <f>IF(Table_BDD[[#This Row],[Valeur fin de journée unique]]=0,#N/A,Table_BDD[[#This Row],[Valeur fin de journée unique]])</f>
        <v>#N/A</v>
      </c>
      <c r="AJ63" s="35">
        <f>IF(Table_BDD[[#This Row],[Position]]="","",(Table_BDD[[#This Row],[Equité après trade]]-Table_BDD[[#This Row],[Equité avant trade]])/Table_BDD[[#This Row],[Equité avant trade]])</f>
        <v>-4.3706877630284935E-3</v>
      </c>
      <c r="AK63" s="35">
        <f>IFERROR(((INDEX(Table_BDD[[Trade n°]:[Valeur fin de journée unique]],Table_BDD[[#This Row],[Nb de trade du jour]]+Table_BDD[[#This Row],[Trade n°]]-1,21))-Table_BDD[[#This Row],[Valeur début de journée unique]])/Table_BDD[[#This Row],[Valeur début de journée unique]],"")</f>
        <v>-6.0655221444998846E-2</v>
      </c>
      <c r="AL63" s="32">
        <f>IF(Table_BDD[[#This Row],[Position]]="","",MAX(Table_BDD[[#This Row],[Cumul équité]],AL62))</f>
        <v>1047.8900000000001</v>
      </c>
      <c r="AM63" s="32">
        <f>IF(Table_BDD[[#This Row],[Position]]="","",MIN(Table_BDD[[#This Row],[Cumul équité]],AL62))</f>
        <v>1043.31</v>
      </c>
      <c r="AN63" s="97">
        <f>IF(Table_BDD[[#This Row],[Sommet Drawdown]]&gt;AL62,"",Table_BDD[[#This Row],[Creux Drawdown]]/Table_BDD[[#This Row],[Sommet Drawdown]]-1)</f>
        <v>-4.3706877630287355E-3</v>
      </c>
      <c r="AO63" s="36">
        <f>IF(Table_BDD[[#This Row],[Position]]="","",IF(Table_BDD[[#This Row],[Type]]="buy",ROUND(Table_BDD[[#This Row],[Lvl Sortie]]-Table_BDD[[#This Row],[Lvl Entrée]],1),ROUND(Table_BDD[[#This Row],[Lvl Entrée]]-Table_BDD[[#This Row],[Lvl Sortie]],1)))</f>
        <v>-10</v>
      </c>
      <c r="AP63" s="36" t="str">
        <f>IF(Table_BDD[[#This Row],[Points]]&gt;0,Table_BDD[[#This Row],[Points]],"")</f>
        <v/>
      </c>
      <c r="AQ63" s="36">
        <f>IF(Table_BDD[[#This Row],[Points]]&lt;0,Table_BDD[[#This Row],[Points]],"")</f>
        <v>-10</v>
      </c>
      <c r="AR63" s="36">
        <f>SUM($AO$4:AO63)</f>
        <v>94.800000000000011</v>
      </c>
      <c r="AS63" s="68">
        <f>IF(Table_BDD[[#This Row],[Position]]="","",IF(Table_BDD[[#This Row],[Conformité]]="Conforme",1,0))</f>
        <v>0</v>
      </c>
      <c r="AT63" s="68">
        <f>IF(Table_BDD[[#This Row],[Position]]="","",IF(Table_BDD[[#This Row],[Conformité]]="Non conforme",1,0))</f>
        <v>1</v>
      </c>
      <c r="AU63" s="37" t="s">
        <v>17</v>
      </c>
      <c r="AV63" s="37"/>
      <c r="AW63" s="37"/>
      <c r="AX63" s="37">
        <v>0</v>
      </c>
      <c r="AY63" s="37">
        <v>0</v>
      </c>
      <c r="AZ63" s="37">
        <v>0</v>
      </c>
      <c r="BA63" s="37" t="str">
        <f>IF(Table_BDD[[#This Row],[Position]]="","Sans objet",IF(AND(Table_BDD[[#This Row],[Type]]="sell",Table_BDD[[#This Row],[S / L]]&lt;Table_BDD[[#This Row],[Lvl Entrée]],Table_BDD[[#This Row],[Lvl Sortie]]&lt;=Table_BDD[[#This Row],[S / L]]+2,Table_BDD[[#This Row],[Lvl Sortie]]&lt;Table_BDD[[#This Row],[Lvl Entrée]]-19),"Oui",IF(AND(Table_BDD[[#This Row],[Type]]="buy",Table_BDD[[#This Row],[S / L]]&gt;Table_BDD[[#This Row],[Lvl Entrée]],Table_BDD[[#This Row],[Lvl Sortie]]&gt;=Table_BDD[[#This Row],[S / L]]-2,Table_BDD[[#This Row],[S / L]]&gt;Table_BDD[[#This Row],[Lvl Entrée]]+19),"Oui","Non")))</f>
        <v>Non</v>
      </c>
      <c r="BB63" s="37" t="str">
        <f>IF(Table_BDD[[#This Row],[Position]]="","Sans objet",IF(AND(Table_BDD[[#This Row],[Type]]="sell",Table_BDD[[#This Row],[S / L]]&lt;Table_BDD[[#This Row],[Lvl Entrée]],Table_BDD[[#This Row],[Points]]&gt;=-1),"Oui",IF(AND(Table_BDD[[#This Row],[Type]]="sell",Table_BDD[[#This Row],[S / L]]&gt;Table_BDD[[#This Row],[Lvl Entrée]]),"Non",IF(AND(Table_BDD[[#This Row],[Type]]="buy",Table_BDD[[#This Row],[S / L]]&lt;Table_BDD[[#This Row],[Lvl Entrée]]),"Non",IF(AND(Table_BDD[[#This Row],[Type]]="buy",Table_BDD[[#This Row],[S / L]]&gt;Table_BDD[[#This Row],[Lvl Entrée]],Table_BDD[[#This Row],[Points]]&gt;=-1),"Oui")))))</f>
        <v>Non</v>
      </c>
      <c r="BC63" s="37" t="str">
        <f>IF(Table_BDD[[#This Row],[Position]]="","Sans objet",IF(Table_BDD[[#This Row],[T / P]]="","Non",IF(AND(Table_BDD[[#This Row],[Type]]="sell",Table_BDD[[#This Row],[Lvl Sortie]]&lt;=Table_BDD[[#This Row],[T / P]]),"Oui",IF(AND(Table_BDD[[#This Row],[Type]]="buy",Table_BDD[[#This Row],[Lvl Sortie]]&gt;=Table_BDD[[#This Row],[T / P]]),"Oui","Non"))))</f>
        <v>Non</v>
      </c>
      <c r="BD63" s="91">
        <f t="array" ref="BD63">IFERROR(INDEX(downloadFile[#All],MATCH(Table_BDD[[#This Row],[Date]],downloadFile[[#All],[Column1]],0),2),BD62)</f>
        <v>1.0951</v>
      </c>
      <c r="BE63" s="89">
        <f>IF(Table_BDD[[#This Row],[Position]]="","",IF(Table_BDD[[#This Row],[Symbole]]="UsaInd",(Table_BDD[[#This Row],[Volume]]*Table_BDD[[#This Row],[Lvl Entrée]])/(Table_BDD[[#This Row],[Equité avant trade]]*Table_BDD[[#This Row],[EUR/USD]]),IF(Table_BDD[[#This Row],[Symbole]]="Ger30",(Table_BDD[[#This Row],[Volume]]*Table_BDD[[#This Row],[Lvl Entrée]])/Table_BDD[[#This Row],[Equité avant trade]],)))</f>
        <v>12.639067186405249</v>
      </c>
      <c r="BF63" s="38">
        <f>IF(Table_BDD[[#This Row],[Position]]="","",IF(Table_BDD[[#This Row],[Conformité]]="Non conforme",0,(MROUND(3*((Table_BDD[[#This Row],[Conviction]]+Table_BDD[[#This Row],[Timing]]+Table_BDD[[#This Row],[Sortie]])+1)-2,1))))</f>
        <v>0</v>
      </c>
      <c r="BG63" s="38" t="str">
        <f>IF(Table_BDD[[#This Row],[Position]]="","",IF(Table_BDD[[#This Row],[Points]]&lt;-5,"--",IF(AND(Table_BDD[[#This Row],[Points]]&gt;=-5,Table_BDD[[#This Row],[Points]]&lt;-1.5),"-",IF(AND(Table_BDD[[#This Row],[Points]]&gt;=-1.5,Table_BDD[[#This Row],[Points]]&lt;1.5),"0",IF(AND(Table_BDD[[#This Row],[Points]]&gt;=1.5,Table_BDD[[#This Row],[Points]]&lt;=70),"+",IF(Table_BDD[[#This Row],[Points]]&gt;70,"++"))))))</f>
        <v>--</v>
      </c>
      <c r="BH63" s="37" t="str">
        <f>IF(Table_BDD[[#This Row],[Position]]="","",IF(Table_BDD[[#This Row],[Points]]&gt;0,"Gagnant",IF(Table_BDD[[#This Row],[Points]]=0,"Flat","Perdant")))</f>
        <v>Perdant</v>
      </c>
      <c r="BI63" s="40">
        <f>IF(Table_BDD[[#This Row],[Position]]="","",IF(Table_BDD[[#This Row],[Résultat]]="Gagnant",1,0))</f>
        <v>0</v>
      </c>
      <c r="BJ63" s="40">
        <f>IF(Table_BDD[[#This Row],[Position]]="","",IF(Table_BDD[[#This Row],[Résultat]]="Perdant",1,0))</f>
        <v>1</v>
      </c>
      <c r="BK63" s="40"/>
      <c r="BL63" s="145" t="str">
        <f>IF(Table_BDD[[#This Row],[T / P]]="","",Table_BDD[[#This Row],[T / P]])</f>
        <v/>
      </c>
      <c r="BM63" s="147"/>
      <c r="BN63" s="147"/>
      <c r="BO63" s="147"/>
      <c r="BP63" s="147"/>
      <c r="BQ63" s="127"/>
    </row>
    <row r="64" spans="1:69" x14ac:dyDescent="0.2">
      <c r="A64" s="93">
        <v>43871.630590277775</v>
      </c>
      <c r="B64" s="94">
        <v>259685007</v>
      </c>
      <c r="C64" s="37" t="s">
        <v>8</v>
      </c>
      <c r="D64" s="37" t="s">
        <v>10</v>
      </c>
      <c r="E64" s="37">
        <v>0.5</v>
      </c>
      <c r="F64" s="95">
        <v>29004.74</v>
      </c>
      <c r="G64" s="95">
        <v>29014.74</v>
      </c>
      <c r="H64" s="95">
        <v>28984.74</v>
      </c>
      <c r="I64" s="93">
        <v>43871.634606481479</v>
      </c>
      <c r="J64" s="95">
        <v>28983.91</v>
      </c>
      <c r="K64" s="95">
        <v>0</v>
      </c>
      <c r="L64" s="95">
        <v>0</v>
      </c>
      <c r="M64" s="32">
        <v>9.5299999999999994</v>
      </c>
      <c r="N64" s="148">
        <f>IF(Table_BDD[[#This Row],[Position]]="","",ROW()-3)</f>
        <v>61</v>
      </c>
      <c r="O64" s="32">
        <f>SUM($L$4:M64)</f>
        <v>52.840000000000025</v>
      </c>
      <c r="P64" s="32">
        <f>Table_BDD[[#This Row],[Equité avant trade]]+Table_BDD[[#This Row],[Profit]]+Table_BDD[[#This Row],[Echange]]</f>
        <v>1052.8399999999999</v>
      </c>
      <c r="Q64" s="52">
        <f>INT(Table_BDD[[#This Row],[Horodatage cloture]])</f>
        <v>43871</v>
      </c>
      <c r="R64" s="34">
        <f>WEEKNUM(Table_BDD[[#This Row],[Horodatage cloture]],2)</f>
        <v>7</v>
      </c>
      <c r="S64" s="61">
        <f>WEEKDAY(Table_BDD[[#This Row],[Horodatage cloture]])</f>
        <v>2</v>
      </c>
      <c r="T64" s="63">
        <f>HOUR(Table_BDD[[#This Row],[Horodatage cloture]])</f>
        <v>15</v>
      </c>
      <c r="U64" s="68">
        <f>IF(Table_BDD[[#This Row],[Position]]="","",IF(Table_BDD[[#This Row],[Valeur début de journée unique]]&lt;&gt;0,1,0))</f>
        <v>0</v>
      </c>
      <c r="V64" s="68" t="str">
        <f>IF(Table_BDD[[#This Row],[Nb de séance de trading]]=1,COUNTIF(Table_BDD[Date],Table_BDD[[#This Row],[Date]]),"")</f>
        <v/>
      </c>
      <c r="W64" s="33">
        <f>IF(Table_BDD[[#This Row],[Position]]="","",IF(Table_BDD[[#This Row],[Type]]="buy",ROUND(Table_BDD[[#This Row],[Lvl Entrée]]-Table_BDD[[#This Row],[S / L]],1),ROUND(Table_BDD[[#This Row],[S / L]]-Table_BDD[[#This Row],[Lvl Entrée]],1)))</f>
        <v>10</v>
      </c>
      <c r="X64" s="33">
        <f>IF(Table_BDD[[#This Row],[Position]]="","",IF(Table_BDD[[#This Row],[T / P]]=0,200,IF(Table_BDD[[#This Row],[Type]]="buy",ROUND(Table_BDD[[#This Row],[T / P]]-Table_BDD[[#This Row],[Lvl Entrée]],1),ROUND(Table_BDD[[#This Row],[Lvl Entrée]]-Table_BDD[[#This Row],[T / P]],1))))</f>
        <v>20</v>
      </c>
      <c r="Y64" s="34">
        <f>IF(Table_BDD[[#This Row],[Position]]="","",IF(Table_BDD[[#This Row],[Ecart du SL]]&gt;0,ROUND(ABS(Table_BDD[[#This Row],[Ecart du TP]])/ABS(Table_BDD[[#This Row],[Ecart du SL]]),1),ROUND(ABS(Table_BDD[[#This Row],[Ecart du TP]])/10,1)))</f>
        <v>2</v>
      </c>
      <c r="Z64" s="34">
        <f>IF(Table_BDD[[#This Row],[Position]]="","",IF(Table_BDD[[#This Row],[Ecart du SL]]&lt;0,IF(AND(Table_BDD[[#This Row],[Profit]]&gt;0,Table_BDD[[#This Row],[Type]]="sell"),ROUND((Table_BDD[[#This Row],[Lvl Entrée]]-Table_BDD[[#This Row],[Lvl Sortie]])/(10),1),IF(AND(Table_BDD[[#This Row],[Profit]]&gt;0,Table_BDD[[#This Row],[Type]]="buy"),ROUND((Table_BDD[[#This Row],[Lvl Sortie]]-Table_BDD[[#This Row],[Lvl Entrée]])/(10),1),)),IF(AND(Table_BDD[[#This Row],[Profit]]&gt;0,Table_BDD[[#This Row],[Type]]="sell"),ROUND((Table_BDD[[#This Row],[Lvl Entrée]]-Table_BDD[[#This Row],[Lvl Sortie]])/(Table_BDD[[#This Row],[S / L]]-Table_BDD[[#This Row],[Lvl Entrée]]),1),IF(AND(Table_BDD[[#This Row],[Profit]]&gt;0,Table_BDD[[#This Row],[Type]]="buy"),ROUND((Table_BDD[[#This Row],[Lvl Sortie]]-Table_BDD[[#This Row],[Lvl Entrée]])/(Table_BDD[[#This Row],[Lvl Entrée]]-Table_BDD[[#This Row],[S / L]]),1),ROUND(Table_BDD[[#This Row],[Points]]/10,1)))))</f>
        <v>2.1</v>
      </c>
      <c r="AA64" s="32">
        <f>IF(Table_BDD[[#This Row],[Position]]="",AA63,Table_BDD[[#This Row],[Equité après trade]]-Table_BDD[[#This Row],[Profit]]-Table_BDD[[#This Row],[Echange]])</f>
        <v>1043.31</v>
      </c>
      <c r="AB64" s="149">
        <f>$B$1+SUM($L$4:M64)</f>
        <v>1052.8399999999999</v>
      </c>
      <c r="AC64" s="150">
        <f>IF(Table_BDD[[#This Row],[Position]]="","",_xlfn.MINIFS(Table_BDD[Horodatage ouverture],Table_BDD[Date],Table_BDD[Date]))</f>
        <v>43871.627708333333</v>
      </c>
      <c r="AD64" s="149">
        <f>VLOOKUP(_xlfn.MINIFS(Table_BDD[Horodatage ouverture],Table_BDD[Date],Table_BDD[Date]),Table_BDD[[Horodatage ouverture]:[Heure derniere valeur]],AA$2)</f>
        <v>1047.8899999999999</v>
      </c>
      <c r="AE64" s="149">
        <f>IF(VLOOKUP(_xlfn.MINIFS(Table_BDD[Horodatage ouverture],Table_BDD[Date],Table_BDD[Date]),Table_BDD[[Horodatage ouverture]:[Heure derniere valeur]],AA$2)=Table_BDD[[#This Row],[Equité avant trade]],VLOOKUP(_xlfn.MINIFS(Table_BDD[Horodatage ouverture],Table_BDD[Date],Table_BDD[Date]),Table_BDD[[Horodatage ouverture]:[Heure derniere valeur]],AA$2),0)</f>
        <v>0</v>
      </c>
      <c r="AF64" s="150">
        <f>IF(Table_BDD[[#This Row],[Position]]="","",_xlfn.MAXIFS(Table_BDD[Horodatage ouverture],Table_BDD[Date],Table_BDD[Date]))</f>
        <v>43871.914259259262</v>
      </c>
      <c r="AG64" s="32">
        <f>VLOOKUP(_xlfn.MAXIFS(Table_BDD[Horodatage cloture],Table_BDD[Date],Table_BDD[Date]),Table_BDD[[Horodatage ouverture]:[Heure derniere valeur]],AB$2)</f>
        <v>984.33</v>
      </c>
      <c r="AH64" s="32">
        <f>IF(VLOOKUP(_xlfn.MAXIFS(Table_BDD[Horodatage cloture],Table_BDD[Date],Table_BDD[Date]),Table_BDD[[Horodatage ouverture]:[Heure derniere valeur]],AB$2)=Table_BDD[[#This Row],[Equité après trade]],VLOOKUP(_xlfn.MAXIFS(Table_BDD[Horodatage cloture],Table_BDD[Date],Table_BDD[Date]),Table_BDD[[Horodatage ouverture]:[Heure derniere valeur]],AB$2),0)</f>
        <v>0</v>
      </c>
      <c r="AI64" s="32" t="e">
        <f>IF(Table_BDD[[#This Row],[Valeur fin de journée unique]]=0,#N/A,Table_BDD[[#This Row],[Valeur fin de journée unique]])</f>
        <v>#N/A</v>
      </c>
      <c r="AJ64" s="35">
        <f>IF(Table_BDD[[#This Row],[Position]]="","",(Table_BDD[[#This Row],[Equité après trade]]-Table_BDD[[#This Row],[Equité avant trade]])/Table_BDD[[#This Row],[Equité avant trade]])</f>
        <v>9.1343895869875433E-3</v>
      </c>
      <c r="AK64" s="35" t="str">
        <f>IFERROR(((INDEX(Table_BDD[[Trade n°]:[Valeur fin de journée unique]],Table_BDD[[#This Row],[Nb de trade du jour]]+Table_BDD[[#This Row],[Trade n°]]-1,21))-Table_BDD[[#This Row],[Valeur début de journée unique]])/Table_BDD[[#This Row],[Valeur début de journée unique]],"")</f>
        <v/>
      </c>
      <c r="AL64" s="32">
        <f>IF(Table_BDD[[#This Row],[Position]]="","",MAX(Table_BDD[[#This Row],[Cumul équité]],AL63))</f>
        <v>1052.8399999999999</v>
      </c>
      <c r="AM64" s="32">
        <f>IF(Table_BDD[[#This Row],[Position]]="","",MIN(Table_BDD[[#This Row],[Cumul équité]],AL63))</f>
        <v>1047.8900000000001</v>
      </c>
      <c r="AN64" s="97" t="str">
        <f>IF(Table_BDD[[#This Row],[Sommet Drawdown]]&gt;AL63,"",Table_BDD[[#This Row],[Creux Drawdown]]/Table_BDD[[#This Row],[Sommet Drawdown]]-1)</f>
        <v/>
      </c>
      <c r="AO64" s="36">
        <f>IF(Table_BDD[[#This Row],[Position]]="","",IF(Table_BDD[[#This Row],[Type]]="buy",ROUND(Table_BDD[[#This Row],[Lvl Sortie]]-Table_BDD[[#This Row],[Lvl Entrée]],1),ROUND(Table_BDD[[#This Row],[Lvl Entrée]]-Table_BDD[[#This Row],[Lvl Sortie]],1)))</f>
        <v>20.8</v>
      </c>
      <c r="AP64" s="36">
        <f>IF(Table_BDD[[#This Row],[Points]]&gt;0,Table_BDD[[#This Row],[Points]],"")</f>
        <v>20.8</v>
      </c>
      <c r="AQ64" s="36" t="str">
        <f>IF(Table_BDD[[#This Row],[Points]]&lt;0,Table_BDD[[#This Row],[Points]],"")</f>
        <v/>
      </c>
      <c r="AR64" s="36">
        <f>SUM($AO$4:AO64)</f>
        <v>115.60000000000001</v>
      </c>
      <c r="AS64" s="68">
        <f>IF(Table_BDD[[#This Row],[Position]]="","",IF(Table_BDD[[#This Row],[Conformité]]="Conforme",1,0))</f>
        <v>0</v>
      </c>
      <c r="AT64" s="68">
        <f>IF(Table_BDD[[#This Row],[Position]]="","",IF(Table_BDD[[#This Row],[Conformité]]="Non conforme",1,0))</f>
        <v>1</v>
      </c>
      <c r="AU64" s="37" t="s">
        <v>17</v>
      </c>
      <c r="AV64" s="37"/>
      <c r="AW64" s="37"/>
      <c r="AX64" s="37">
        <v>0</v>
      </c>
      <c r="AY64" s="37">
        <v>0</v>
      </c>
      <c r="AZ64" s="37">
        <v>0</v>
      </c>
      <c r="BA64" s="40" t="str">
        <f>IF(Table_BDD[[#This Row],[Position]]="","Sans objet",IF(AND(Table_BDD[[#This Row],[Type]]="sell",Table_BDD[[#This Row],[S / L]]&lt;Table_BDD[[#This Row],[Lvl Entrée]],Table_BDD[[#This Row],[Lvl Sortie]]&lt;=Table_BDD[[#This Row],[S / L]]+2,Table_BDD[[#This Row],[Lvl Sortie]]&lt;Table_BDD[[#This Row],[Lvl Entrée]]-19),"Oui",IF(AND(Table_BDD[[#This Row],[Type]]="buy",Table_BDD[[#This Row],[S / L]]&gt;Table_BDD[[#This Row],[Lvl Entrée]],Table_BDD[[#This Row],[Lvl Sortie]]&gt;=Table_BDD[[#This Row],[S / L]]-2,Table_BDD[[#This Row],[S / L]]&gt;Table_BDD[[#This Row],[Lvl Entrée]]+19),"Oui","Non")))</f>
        <v>Non</v>
      </c>
      <c r="BB64" s="40" t="str">
        <f>IF(Table_BDD[[#This Row],[Position]]="","Sans objet",IF(AND(Table_BDD[[#This Row],[Type]]="sell",Table_BDD[[#This Row],[S / L]]&lt;Table_BDD[[#This Row],[Lvl Entrée]],Table_BDD[[#This Row],[Points]]&gt;=-1),"Oui",IF(AND(Table_BDD[[#This Row],[Type]]="sell",Table_BDD[[#This Row],[S / L]]&gt;Table_BDD[[#This Row],[Lvl Entrée]]),"Non",IF(AND(Table_BDD[[#This Row],[Type]]="buy",Table_BDD[[#This Row],[S / L]]&lt;Table_BDD[[#This Row],[Lvl Entrée]]),"Non",IF(AND(Table_BDD[[#This Row],[Type]]="buy",Table_BDD[[#This Row],[S / L]]&gt;Table_BDD[[#This Row],[Lvl Entrée]],Table_BDD[[#This Row],[Points]]&gt;=-1),"Oui")))))</f>
        <v>Non</v>
      </c>
      <c r="BC64" s="40" t="str">
        <f>IF(Table_BDD[[#This Row],[Position]]="","Sans objet",IF(Table_BDD[[#This Row],[T / P]]="","Non",IF(AND(Table_BDD[[#This Row],[Type]]="sell",Table_BDD[[#This Row],[Lvl Sortie]]&lt;=Table_BDD[[#This Row],[T / P]]),"Oui",IF(AND(Table_BDD[[#This Row],[Type]]="buy",Table_BDD[[#This Row],[Lvl Sortie]]&gt;=Table_BDD[[#This Row],[T / P]]),"Oui","Non"))))</f>
        <v>Oui</v>
      </c>
      <c r="BD64" s="91">
        <f t="array" ref="BD64">IFERROR(INDEX(downloadFile[#All],MATCH(Table_BDD[[#This Row],[Date]],downloadFile[[#All],[Column1]],0),2),BD63)</f>
        <v>1.0951</v>
      </c>
      <c r="BE64" s="89">
        <f>IF(Table_BDD[[#This Row],[Position]]="","",IF(Table_BDD[[#This Row],[Symbole]]="UsaInd",(Table_BDD[[#This Row],[Volume]]*Table_BDD[[#This Row],[Lvl Entrée]])/(Table_BDD[[#This Row],[Equité avant trade]]*Table_BDD[[#This Row],[EUR/USD]]),IF(Table_BDD[[#This Row],[Symbole]]="Ger30",(Table_BDD[[#This Row],[Volume]]*Table_BDD[[#This Row],[Lvl Entrée]])/Table_BDD[[#This Row],[Equité avant trade]],)))</f>
        <v>12.693220723338611</v>
      </c>
      <c r="BF64" s="38">
        <f>IF(Table_BDD[[#This Row],[Position]]="","",IF(Table_BDD[[#This Row],[Conformité]]="Non conforme",0,(MROUND(3*((Table_BDD[[#This Row],[Conviction]]+Table_BDD[[#This Row],[Timing]]+Table_BDD[[#This Row],[Sortie]])+1)-2,1))))</f>
        <v>0</v>
      </c>
      <c r="BG64" s="38" t="str">
        <f>IF(Table_BDD[[#This Row],[Position]]="","",IF(Table_BDD[[#This Row],[Points]]&lt;-5,"--",IF(AND(Table_BDD[[#This Row],[Points]]&gt;=-5,Table_BDD[[#This Row],[Points]]&lt;-1.5),"-",IF(AND(Table_BDD[[#This Row],[Points]]&gt;=-1.5,Table_BDD[[#This Row],[Points]]&lt;1.5),"0",IF(AND(Table_BDD[[#This Row],[Points]]&gt;=1.5,Table_BDD[[#This Row],[Points]]&lt;=70),"+",IF(Table_BDD[[#This Row],[Points]]&gt;70,"++"))))))</f>
        <v>+</v>
      </c>
      <c r="BH64" s="37" t="str">
        <f>IF(Table_BDD[[#This Row],[Position]]="","",IF(Table_BDD[[#This Row],[Points]]&gt;0,"Gagnant",IF(Table_BDD[[#This Row],[Points]]=0,"Flat","Perdant")))</f>
        <v>Gagnant</v>
      </c>
      <c r="BI64" s="40">
        <f>IF(Table_BDD[[#This Row],[Position]]="","",IF(Table_BDD[[#This Row],[Résultat]]="Gagnant",1,0))</f>
        <v>1</v>
      </c>
      <c r="BJ64" s="40">
        <f>IF(Table_BDD[[#This Row],[Position]]="","",IF(Table_BDD[[#This Row],[Résultat]]="Perdant",1,0))</f>
        <v>0</v>
      </c>
      <c r="BK64" s="40"/>
      <c r="BL64" s="145">
        <f>IF(Table_BDD[[#This Row],[T / P]]="","",Table_BDD[[#This Row],[T / P]])</f>
        <v>28984.74</v>
      </c>
      <c r="BM64" s="147"/>
      <c r="BN64" s="147"/>
      <c r="BO64" s="147"/>
      <c r="BP64" s="147"/>
      <c r="BQ64" s="127"/>
    </row>
    <row r="65" spans="1:69" x14ac:dyDescent="0.2">
      <c r="A65" s="93">
        <v>43871.652627314812</v>
      </c>
      <c r="B65" s="94">
        <v>259690209</v>
      </c>
      <c r="C65" s="37" t="s">
        <v>8</v>
      </c>
      <c r="D65" s="37" t="s">
        <v>10</v>
      </c>
      <c r="E65" s="37">
        <v>0.5</v>
      </c>
      <c r="F65" s="95">
        <v>29088.84</v>
      </c>
      <c r="G65" s="95">
        <v>29098.84</v>
      </c>
      <c r="H65" s="95">
        <v>28988.84</v>
      </c>
      <c r="I65" s="93">
        <v>43871.653194444443</v>
      </c>
      <c r="J65" s="95">
        <v>29098.89</v>
      </c>
      <c r="K65" s="95">
        <v>0</v>
      </c>
      <c r="L65" s="95">
        <v>0</v>
      </c>
      <c r="M65" s="32">
        <v>-4.5999999999999996</v>
      </c>
      <c r="N65" s="148">
        <f>IF(Table_BDD[[#This Row],[Position]]="","",ROW()-3)</f>
        <v>62</v>
      </c>
      <c r="O65" s="32">
        <f>SUM($L$4:M65)</f>
        <v>48.240000000000023</v>
      </c>
      <c r="P65" s="32">
        <f>Table_BDD[[#This Row],[Equité avant trade]]+Table_BDD[[#This Row],[Profit]]+Table_BDD[[#This Row],[Echange]]</f>
        <v>1048.24</v>
      </c>
      <c r="Q65" s="52">
        <f>INT(Table_BDD[[#This Row],[Horodatage cloture]])</f>
        <v>43871</v>
      </c>
      <c r="R65" s="34">
        <f>WEEKNUM(Table_BDD[[#This Row],[Horodatage cloture]],2)</f>
        <v>7</v>
      </c>
      <c r="S65" s="61">
        <f>WEEKDAY(Table_BDD[[#This Row],[Horodatage cloture]])</f>
        <v>2</v>
      </c>
      <c r="T65" s="63">
        <f>HOUR(Table_BDD[[#This Row],[Horodatage cloture]])</f>
        <v>15</v>
      </c>
      <c r="U65" s="68">
        <f>IF(Table_BDD[[#This Row],[Position]]="","",IF(Table_BDD[[#This Row],[Valeur début de journée unique]]&lt;&gt;0,1,0))</f>
        <v>0</v>
      </c>
      <c r="V65" s="68" t="str">
        <f>IF(Table_BDD[[#This Row],[Nb de séance de trading]]=1,COUNTIF(Table_BDD[Date],Table_BDD[[#This Row],[Date]]),"")</f>
        <v/>
      </c>
      <c r="W65" s="33">
        <f>IF(Table_BDD[[#This Row],[Position]]="","",IF(Table_BDD[[#This Row],[Type]]="buy",ROUND(Table_BDD[[#This Row],[Lvl Entrée]]-Table_BDD[[#This Row],[S / L]],1),ROUND(Table_BDD[[#This Row],[S / L]]-Table_BDD[[#This Row],[Lvl Entrée]],1)))</f>
        <v>10</v>
      </c>
      <c r="X65" s="33">
        <f>IF(Table_BDD[[#This Row],[Position]]="","",IF(Table_BDD[[#This Row],[T / P]]=0,200,IF(Table_BDD[[#This Row],[Type]]="buy",ROUND(Table_BDD[[#This Row],[T / P]]-Table_BDD[[#This Row],[Lvl Entrée]],1),ROUND(Table_BDD[[#This Row],[Lvl Entrée]]-Table_BDD[[#This Row],[T / P]],1))))</f>
        <v>100</v>
      </c>
      <c r="Y65" s="34">
        <f>IF(Table_BDD[[#This Row],[Position]]="","",IF(Table_BDD[[#This Row],[Ecart du SL]]&gt;0,ROUND(ABS(Table_BDD[[#This Row],[Ecart du TP]])/ABS(Table_BDD[[#This Row],[Ecart du SL]]),1),ROUND(ABS(Table_BDD[[#This Row],[Ecart du TP]])/10,1)))</f>
        <v>10</v>
      </c>
      <c r="Z65" s="34">
        <f>IF(Table_BDD[[#This Row],[Position]]="","",IF(Table_BDD[[#This Row],[Ecart du SL]]&lt;0,IF(AND(Table_BDD[[#This Row],[Profit]]&gt;0,Table_BDD[[#This Row],[Type]]="sell"),ROUND((Table_BDD[[#This Row],[Lvl Entrée]]-Table_BDD[[#This Row],[Lvl Sortie]])/(10),1),IF(AND(Table_BDD[[#This Row],[Profit]]&gt;0,Table_BDD[[#This Row],[Type]]="buy"),ROUND((Table_BDD[[#This Row],[Lvl Sortie]]-Table_BDD[[#This Row],[Lvl Entrée]])/(10),1),)),IF(AND(Table_BDD[[#This Row],[Profit]]&gt;0,Table_BDD[[#This Row],[Type]]="sell"),ROUND((Table_BDD[[#This Row],[Lvl Entrée]]-Table_BDD[[#This Row],[Lvl Sortie]])/(Table_BDD[[#This Row],[S / L]]-Table_BDD[[#This Row],[Lvl Entrée]]),1),IF(AND(Table_BDD[[#This Row],[Profit]]&gt;0,Table_BDD[[#This Row],[Type]]="buy"),ROUND((Table_BDD[[#This Row],[Lvl Sortie]]-Table_BDD[[#This Row],[Lvl Entrée]])/(Table_BDD[[#This Row],[Lvl Entrée]]-Table_BDD[[#This Row],[S / L]]),1),ROUND(Table_BDD[[#This Row],[Points]]/10,1)))))</f>
        <v>-1</v>
      </c>
      <c r="AA65" s="32">
        <f>IF(Table_BDD[[#This Row],[Position]]="",AA64,Table_BDD[[#This Row],[Equité après trade]]-Table_BDD[[#This Row],[Profit]]-Table_BDD[[#This Row],[Echange]])</f>
        <v>1052.8399999999999</v>
      </c>
      <c r="AB65" s="149">
        <f>$B$1+SUM($L$4:M65)</f>
        <v>1048.24</v>
      </c>
      <c r="AC65" s="150">
        <f>IF(Table_BDD[[#This Row],[Position]]="","",_xlfn.MINIFS(Table_BDD[Horodatage ouverture],Table_BDD[Date],Table_BDD[Date]))</f>
        <v>43871.627708333333</v>
      </c>
      <c r="AD65" s="149">
        <f>VLOOKUP(_xlfn.MINIFS(Table_BDD[Horodatage ouverture],Table_BDD[Date],Table_BDD[Date]),Table_BDD[[Horodatage ouverture]:[Heure derniere valeur]],AA$2)</f>
        <v>1047.8899999999999</v>
      </c>
      <c r="AE65" s="149">
        <f>IF(VLOOKUP(_xlfn.MINIFS(Table_BDD[Horodatage ouverture],Table_BDD[Date],Table_BDD[Date]),Table_BDD[[Horodatage ouverture]:[Heure derniere valeur]],AA$2)=Table_BDD[[#This Row],[Equité avant trade]],VLOOKUP(_xlfn.MINIFS(Table_BDD[Horodatage ouverture],Table_BDD[Date],Table_BDD[Date]),Table_BDD[[Horodatage ouverture]:[Heure derniere valeur]],AA$2),0)</f>
        <v>0</v>
      </c>
      <c r="AF65" s="150">
        <f>IF(Table_BDD[[#This Row],[Position]]="","",_xlfn.MAXIFS(Table_BDD[Horodatage ouverture],Table_BDD[Date],Table_BDD[Date]))</f>
        <v>43871.914259259262</v>
      </c>
      <c r="AG65" s="32">
        <f>VLOOKUP(_xlfn.MAXIFS(Table_BDD[Horodatage cloture],Table_BDD[Date],Table_BDD[Date]),Table_BDD[[Horodatage ouverture]:[Heure derniere valeur]],AB$2)</f>
        <v>984.33</v>
      </c>
      <c r="AH65" s="32">
        <f>IF(VLOOKUP(_xlfn.MAXIFS(Table_BDD[Horodatage cloture],Table_BDD[Date],Table_BDD[Date]),Table_BDD[[Horodatage ouverture]:[Heure derniere valeur]],AB$2)=Table_BDD[[#This Row],[Equité après trade]],VLOOKUP(_xlfn.MAXIFS(Table_BDD[Horodatage cloture],Table_BDD[Date],Table_BDD[Date]),Table_BDD[[Horodatage ouverture]:[Heure derniere valeur]],AB$2),0)</f>
        <v>0</v>
      </c>
      <c r="AI65" s="32" t="e">
        <f>IF(Table_BDD[[#This Row],[Valeur fin de journée unique]]=0,#N/A,Table_BDD[[#This Row],[Valeur fin de journée unique]])</f>
        <v>#N/A</v>
      </c>
      <c r="AJ65" s="35">
        <f>IF(Table_BDD[[#This Row],[Position]]="","",(Table_BDD[[#This Row],[Equité après trade]]-Table_BDD[[#This Row],[Equité avant trade]])/Table_BDD[[#This Row],[Equité avant trade]])</f>
        <v>-4.3691349112874788E-3</v>
      </c>
      <c r="AK65" s="35" t="str">
        <f>IFERROR(((INDEX(Table_BDD[[Trade n°]:[Valeur fin de journée unique]],Table_BDD[[#This Row],[Nb de trade du jour]]+Table_BDD[[#This Row],[Trade n°]]-1,21))-Table_BDD[[#This Row],[Valeur début de journée unique]])/Table_BDD[[#This Row],[Valeur début de journée unique]],"")</f>
        <v/>
      </c>
      <c r="AL65" s="32">
        <f>IF(Table_BDD[[#This Row],[Position]]="","",MAX(Table_BDD[[#This Row],[Cumul équité]],AL64))</f>
        <v>1052.8399999999999</v>
      </c>
      <c r="AM65" s="32">
        <f>IF(Table_BDD[[#This Row],[Position]]="","",MIN(Table_BDD[[#This Row],[Cumul équité]],AL64))</f>
        <v>1048.24</v>
      </c>
      <c r="AN65" s="97">
        <f>IF(Table_BDD[[#This Row],[Sommet Drawdown]]&gt;AL64,"",Table_BDD[[#This Row],[Creux Drawdown]]/Table_BDD[[#This Row],[Sommet Drawdown]]-1)</f>
        <v>-4.3691349112874311E-3</v>
      </c>
      <c r="AO65" s="36">
        <f>IF(Table_BDD[[#This Row],[Position]]="","",IF(Table_BDD[[#This Row],[Type]]="buy",ROUND(Table_BDD[[#This Row],[Lvl Sortie]]-Table_BDD[[#This Row],[Lvl Entrée]],1),ROUND(Table_BDD[[#This Row],[Lvl Entrée]]-Table_BDD[[#This Row],[Lvl Sortie]],1)))</f>
        <v>-10</v>
      </c>
      <c r="AP65" s="36" t="str">
        <f>IF(Table_BDD[[#This Row],[Points]]&gt;0,Table_BDD[[#This Row],[Points]],"")</f>
        <v/>
      </c>
      <c r="AQ65" s="36">
        <f>IF(Table_BDD[[#This Row],[Points]]&lt;0,Table_BDD[[#This Row],[Points]],"")</f>
        <v>-10</v>
      </c>
      <c r="AR65" s="36">
        <f>SUM($AO$4:AO65)</f>
        <v>105.60000000000001</v>
      </c>
      <c r="AS65" s="68">
        <f>IF(Table_BDD[[#This Row],[Position]]="","",IF(Table_BDD[[#This Row],[Conformité]]="Conforme",1,0))</f>
        <v>0</v>
      </c>
      <c r="AT65" s="68">
        <f>IF(Table_BDD[[#This Row],[Position]]="","",IF(Table_BDD[[#This Row],[Conformité]]="Non conforme",1,0))</f>
        <v>1</v>
      </c>
      <c r="AU65" s="37" t="s">
        <v>17</v>
      </c>
      <c r="AV65" s="37"/>
      <c r="AW65" s="37"/>
      <c r="AX65" s="37">
        <v>0</v>
      </c>
      <c r="AY65" s="37">
        <v>0</v>
      </c>
      <c r="AZ65" s="37">
        <v>0</v>
      </c>
      <c r="BA65" s="40" t="str">
        <f>IF(Table_BDD[[#This Row],[Position]]="","Sans objet",IF(AND(Table_BDD[[#This Row],[Type]]="sell",Table_BDD[[#This Row],[S / L]]&lt;Table_BDD[[#This Row],[Lvl Entrée]],Table_BDD[[#This Row],[Lvl Sortie]]&lt;=Table_BDD[[#This Row],[S / L]]+2,Table_BDD[[#This Row],[Lvl Sortie]]&lt;Table_BDD[[#This Row],[Lvl Entrée]]-19),"Oui",IF(AND(Table_BDD[[#This Row],[Type]]="buy",Table_BDD[[#This Row],[S / L]]&gt;Table_BDD[[#This Row],[Lvl Entrée]],Table_BDD[[#This Row],[Lvl Sortie]]&gt;=Table_BDD[[#This Row],[S / L]]-2,Table_BDD[[#This Row],[S / L]]&gt;Table_BDD[[#This Row],[Lvl Entrée]]+19),"Oui","Non")))</f>
        <v>Non</v>
      </c>
      <c r="BB65" s="40" t="str">
        <f>IF(Table_BDD[[#This Row],[Position]]="","Sans objet",IF(AND(Table_BDD[[#This Row],[Type]]="sell",Table_BDD[[#This Row],[S / L]]&lt;Table_BDD[[#This Row],[Lvl Entrée]],Table_BDD[[#This Row],[Points]]&gt;=-1),"Oui",IF(AND(Table_BDD[[#This Row],[Type]]="sell",Table_BDD[[#This Row],[S / L]]&gt;Table_BDD[[#This Row],[Lvl Entrée]]),"Non",IF(AND(Table_BDD[[#This Row],[Type]]="buy",Table_BDD[[#This Row],[S / L]]&lt;Table_BDD[[#This Row],[Lvl Entrée]]),"Non",IF(AND(Table_BDD[[#This Row],[Type]]="buy",Table_BDD[[#This Row],[S / L]]&gt;Table_BDD[[#This Row],[Lvl Entrée]],Table_BDD[[#This Row],[Points]]&gt;=-1),"Oui")))))</f>
        <v>Non</v>
      </c>
      <c r="BC65" s="40" t="str">
        <f>IF(Table_BDD[[#This Row],[Position]]="","Sans objet",IF(Table_BDD[[#This Row],[T / P]]="","Non",IF(AND(Table_BDD[[#This Row],[Type]]="sell",Table_BDD[[#This Row],[Lvl Sortie]]&lt;=Table_BDD[[#This Row],[T / P]]),"Oui",IF(AND(Table_BDD[[#This Row],[Type]]="buy",Table_BDD[[#This Row],[Lvl Sortie]]&gt;=Table_BDD[[#This Row],[T / P]]),"Oui","Non"))))</f>
        <v>Non</v>
      </c>
      <c r="BD65" s="91">
        <f t="array" ref="BD65">IFERROR(INDEX(downloadFile[#All],MATCH(Table_BDD[[#This Row],[Date]],downloadFile[[#All],[Column1]],0),2),BD64)</f>
        <v>1.0951</v>
      </c>
      <c r="BE65" s="89">
        <f>IF(Table_BDD[[#This Row],[Position]]="","",IF(Table_BDD[[#This Row],[Symbole]]="UsaInd",(Table_BDD[[#This Row],[Volume]]*Table_BDD[[#This Row],[Lvl Entrée]])/(Table_BDD[[#This Row],[Equité avant trade]]*Table_BDD[[#This Row],[EUR/USD]]),IF(Table_BDD[[#This Row],[Symbole]]="Ger30",(Table_BDD[[#This Row],[Volume]]*Table_BDD[[#This Row],[Lvl Entrée]])/Table_BDD[[#This Row],[Equité avant trade]],)))</f>
        <v>12.614796581298728</v>
      </c>
      <c r="BF65" s="38">
        <f>IF(Table_BDD[[#This Row],[Position]]="","",IF(Table_BDD[[#This Row],[Conformité]]="Non conforme",0,(MROUND(3*((Table_BDD[[#This Row],[Conviction]]+Table_BDD[[#This Row],[Timing]]+Table_BDD[[#This Row],[Sortie]])+1)-2,1))))</f>
        <v>0</v>
      </c>
      <c r="BG65" s="38" t="str">
        <f>IF(Table_BDD[[#This Row],[Position]]="","",IF(Table_BDD[[#This Row],[Points]]&lt;-5,"--",IF(AND(Table_BDD[[#This Row],[Points]]&gt;=-5,Table_BDD[[#This Row],[Points]]&lt;-1.5),"-",IF(AND(Table_BDD[[#This Row],[Points]]&gt;=-1.5,Table_BDD[[#This Row],[Points]]&lt;1.5),"0",IF(AND(Table_BDD[[#This Row],[Points]]&gt;=1.5,Table_BDD[[#This Row],[Points]]&lt;=70),"+",IF(Table_BDD[[#This Row],[Points]]&gt;70,"++"))))))</f>
        <v>--</v>
      </c>
      <c r="BH65" s="37" t="str">
        <f>IF(Table_BDD[[#This Row],[Position]]="","",IF(Table_BDD[[#This Row],[Points]]&gt;0,"Gagnant",IF(Table_BDD[[#This Row],[Points]]=0,"Flat","Perdant")))</f>
        <v>Perdant</v>
      </c>
      <c r="BI65" s="40">
        <f>IF(Table_BDD[[#This Row],[Position]]="","",IF(Table_BDD[[#This Row],[Résultat]]="Gagnant",1,0))</f>
        <v>0</v>
      </c>
      <c r="BJ65" s="40">
        <f>IF(Table_BDD[[#This Row],[Position]]="","",IF(Table_BDD[[#This Row],[Résultat]]="Perdant",1,0))</f>
        <v>1</v>
      </c>
      <c r="BK65" s="40"/>
      <c r="BL65" s="145">
        <f>IF(Table_BDD[[#This Row],[T / P]]="","",Table_BDD[[#This Row],[T / P]])</f>
        <v>28988.84</v>
      </c>
      <c r="BM65" s="147"/>
      <c r="BN65" s="147"/>
      <c r="BO65" s="147"/>
      <c r="BP65" s="147"/>
      <c r="BQ65" s="127"/>
    </row>
    <row r="66" spans="1:69" x14ac:dyDescent="0.2">
      <c r="A66" s="93">
        <v>43871.653321759259</v>
      </c>
      <c r="B66" s="94">
        <v>259690368</v>
      </c>
      <c r="C66" s="37" t="s">
        <v>8</v>
      </c>
      <c r="D66" s="37" t="s">
        <v>10</v>
      </c>
      <c r="E66" s="37">
        <v>0.5</v>
      </c>
      <c r="F66" s="95">
        <v>29101.79</v>
      </c>
      <c r="G66" s="95">
        <v>29111.79</v>
      </c>
      <c r="H66" s="95">
        <v>29001.79</v>
      </c>
      <c r="I66" s="93">
        <v>43871.653692129628</v>
      </c>
      <c r="J66" s="95">
        <v>29113.07</v>
      </c>
      <c r="K66" s="95">
        <v>0</v>
      </c>
      <c r="L66" s="95">
        <v>0</v>
      </c>
      <c r="M66" s="32">
        <v>-5.16</v>
      </c>
      <c r="N66" s="148">
        <f>IF(Table_BDD[[#This Row],[Position]]="","",ROW()-3)</f>
        <v>63</v>
      </c>
      <c r="O66" s="32">
        <f>SUM($L$4:M66)</f>
        <v>43.080000000000027</v>
      </c>
      <c r="P66" s="32">
        <f>Table_BDD[[#This Row],[Equité avant trade]]+Table_BDD[[#This Row],[Profit]]+Table_BDD[[#This Row],[Echange]]</f>
        <v>1043.08</v>
      </c>
      <c r="Q66" s="52">
        <f>INT(Table_BDD[[#This Row],[Horodatage cloture]])</f>
        <v>43871</v>
      </c>
      <c r="R66" s="34">
        <f>WEEKNUM(Table_BDD[[#This Row],[Horodatage cloture]],2)</f>
        <v>7</v>
      </c>
      <c r="S66" s="61">
        <f>WEEKDAY(Table_BDD[[#This Row],[Horodatage cloture]])</f>
        <v>2</v>
      </c>
      <c r="T66" s="63">
        <f>HOUR(Table_BDD[[#This Row],[Horodatage cloture]])</f>
        <v>15</v>
      </c>
      <c r="U66" s="68">
        <f>IF(Table_BDD[[#This Row],[Position]]="","",IF(Table_BDD[[#This Row],[Valeur début de journée unique]]&lt;&gt;0,1,0))</f>
        <v>0</v>
      </c>
      <c r="V66" s="68" t="str">
        <f>IF(Table_BDD[[#This Row],[Nb de séance de trading]]=1,COUNTIF(Table_BDD[Date],Table_BDD[[#This Row],[Date]]),"")</f>
        <v/>
      </c>
      <c r="W66" s="33">
        <f>IF(Table_BDD[[#This Row],[Position]]="","",IF(Table_BDD[[#This Row],[Type]]="buy",ROUND(Table_BDD[[#This Row],[Lvl Entrée]]-Table_BDD[[#This Row],[S / L]],1),ROUND(Table_BDD[[#This Row],[S / L]]-Table_BDD[[#This Row],[Lvl Entrée]],1)))</f>
        <v>10</v>
      </c>
      <c r="X66" s="33">
        <f>IF(Table_BDD[[#This Row],[Position]]="","",IF(Table_BDD[[#This Row],[T / P]]=0,200,IF(Table_BDD[[#This Row],[Type]]="buy",ROUND(Table_BDD[[#This Row],[T / P]]-Table_BDD[[#This Row],[Lvl Entrée]],1),ROUND(Table_BDD[[#This Row],[Lvl Entrée]]-Table_BDD[[#This Row],[T / P]],1))))</f>
        <v>100</v>
      </c>
      <c r="Y66" s="34">
        <f>IF(Table_BDD[[#This Row],[Position]]="","",IF(Table_BDD[[#This Row],[Ecart du SL]]&gt;0,ROUND(ABS(Table_BDD[[#This Row],[Ecart du TP]])/ABS(Table_BDD[[#This Row],[Ecart du SL]]),1),ROUND(ABS(Table_BDD[[#This Row],[Ecart du TP]])/10,1)))</f>
        <v>10</v>
      </c>
      <c r="Z66" s="34">
        <f>IF(Table_BDD[[#This Row],[Position]]="","",IF(Table_BDD[[#This Row],[Ecart du SL]]&lt;0,IF(AND(Table_BDD[[#This Row],[Profit]]&gt;0,Table_BDD[[#This Row],[Type]]="sell"),ROUND((Table_BDD[[#This Row],[Lvl Entrée]]-Table_BDD[[#This Row],[Lvl Sortie]])/(10),1),IF(AND(Table_BDD[[#This Row],[Profit]]&gt;0,Table_BDD[[#This Row],[Type]]="buy"),ROUND((Table_BDD[[#This Row],[Lvl Sortie]]-Table_BDD[[#This Row],[Lvl Entrée]])/(10),1),)),IF(AND(Table_BDD[[#This Row],[Profit]]&gt;0,Table_BDD[[#This Row],[Type]]="sell"),ROUND((Table_BDD[[#This Row],[Lvl Entrée]]-Table_BDD[[#This Row],[Lvl Sortie]])/(Table_BDD[[#This Row],[S / L]]-Table_BDD[[#This Row],[Lvl Entrée]]),1),IF(AND(Table_BDD[[#This Row],[Profit]]&gt;0,Table_BDD[[#This Row],[Type]]="buy"),ROUND((Table_BDD[[#This Row],[Lvl Sortie]]-Table_BDD[[#This Row],[Lvl Entrée]])/(Table_BDD[[#This Row],[Lvl Entrée]]-Table_BDD[[#This Row],[S / L]]),1),ROUND(Table_BDD[[#This Row],[Points]]/10,1)))))</f>
        <v>-1.1000000000000001</v>
      </c>
      <c r="AA66" s="32">
        <f>IF(Table_BDD[[#This Row],[Position]]="",AA65,Table_BDD[[#This Row],[Equité après trade]]-Table_BDD[[#This Row],[Profit]]-Table_BDD[[#This Row],[Echange]])</f>
        <v>1048.24</v>
      </c>
      <c r="AB66" s="149">
        <f>$B$1+SUM($L$4:M66)</f>
        <v>1043.08</v>
      </c>
      <c r="AC66" s="150">
        <f>IF(Table_BDD[[#This Row],[Position]]="","",_xlfn.MINIFS(Table_BDD[Horodatage ouverture],Table_BDD[Date],Table_BDD[Date]))</f>
        <v>43871.627708333333</v>
      </c>
      <c r="AD66" s="149">
        <f>VLOOKUP(_xlfn.MINIFS(Table_BDD[Horodatage ouverture],Table_BDD[Date],Table_BDD[Date]),Table_BDD[[Horodatage ouverture]:[Heure derniere valeur]],AA$2)</f>
        <v>1047.8899999999999</v>
      </c>
      <c r="AE66" s="149">
        <f>IF(VLOOKUP(_xlfn.MINIFS(Table_BDD[Horodatage ouverture],Table_BDD[Date],Table_BDD[Date]),Table_BDD[[Horodatage ouverture]:[Heure derniere valeur]],AA$2)=Table_BDD[[#This Row],[Equité avant trade]],VLOOKUP(_xlfn.MINIFS(Table_BDD[Horodatage ouverture],Table_BDD[Date],Table_BDD[Date]),Table_BDD[[Horodatage ouverture]:[Heure derniere valeur]],AA$2),0)</f>
        <v>0</v>
      </c>
      <c r="AF66" s="150">
        <f>IF(Table_BDD[[#This Row],[Position]]="","",_xlfn.MAXIFS(Table_BDD[Horodatage ouverture],Table_BDD[Date],Table_BDD[Date]))</f>
        <v>43871.914259259262</v>
      </c>
      <c r="AG66" s="32">
        <f>VLOOKUP(_xlfn.MAXIFS(Table_BDD[Horodatage cloture],Table_BDD[Date],Table_BDD[Date]),Table_BDD[[Horodatage ouverture]:[Heure derniere valeur]],AB$2)</f>
        <v>984.33</v>
      </c>
      <c r="AH66" s="32">
        <f>IF(VLOOKUP(_xlfn.MAXIFS(Table_BDD[Horodatage cloture],Table_BDD[Date],Table_BDD[Date]),Table_BDD[[Horodatage ouverture]:[Heure derniere valeur]],AB$2)=Table_BDD[[#This Row],[Equité après trade]],VLOOKUP(_xlfn.MAXIFS(Table_BDD[Horodatage cloture],Table_BDD[Date],Table_BDD[Date]),Table_BDD[[Horodatage ouverture]:[Heure derniere valeur]],AB$2),0)</f>
        <v>0</v>
      </c>
      <c r="AI66" s="32" t="e">
        <f>IF(Table_BDD[[#This Row],[Valeur fin de journée unique]]=0,#N/A,Table_BDD[[#This Row],[Valeur fin de journée unique]])</f>
        <v>#N/A</v>
      </c>
      <c r="AJ66" s="35">
        <f>IF(Table_BDD[[#This Row],[Position]]="","",(Table_BDD[[#This Row],[Equité après trade]]-Table_BDD[[#This Row],[Equité avant trade]])/Table_BDD[[#This Row],[Equité avant trade]])</f>
        <v>-4.9225368236282549E-3</v>
      </c>
      <c r="AK66" s="35" t="str">
        <f>IFERROR(((INDEX(Table_BDD[[Trade n°]:[Valeur fin de journée unique]],Table_BDD[[#This Row],[Nb de trade du jour]]+Table_BDD[[#This Row],[Trade n°]]-1,21))-Table_BDD[[#This Row],[Valeur début de journée unique]])/Table_BDD[[#This Row],[Valeur début de journée unique]],"")</f>
        <v/>
      </c>
      <c r="AL66" s="32">
        <f>IF(Table_BDD[[#This Row],[Position]]="","",MAX(Table_BDD[[#This Row],[Cumul équité]],AL65))</f>
        <v>1052.8399999999999</v>
      </c>
      <c r="AM66" s="32">
        <f>IF(Table_BDD[[#This Row],[Position]]="","",MIN(Table_BDD[[#This Row],[Cumul équité]],AL65))</f>
        <v>1043.08</v>
      </c>
      <c r="AN66" s="97">
        <f>IF(Table_BDD[[#This Row],[Sommet Drawdown]]&gt;AL65,"",Table_BDD[[#This Row],[Creux Drawdown]]/Table_BDD[[#This Row],[Sommet Drawdown]]-1)</f>
        <v>-9.2701645074275696E-3</v>
      </c>
      <c r="AO66" s="36">
        <f>IF(Table_BDD[[#This Row],[Position]]="","",IF(Table_BDD[[#This Row],[Type]]="buy",ROUND(Table_BDD[[#This Row],[Lvl Sortie]]-Table_BDD[[#This Row],[Lvl Entrée]],1),ROUND(Table_BDD[[#This Row],[Lvl Entrée]]-Table_BDD[[#This Row],[Lvl Sortie]],1)))</f>
        <v>-11.3</v>
      </c>
      <c r="AP66" s="36" t="str">
        <f>IF(Table_BDD[[#This Row],[Points]]&gt;0,Table_BDD[[#This Row],[Points]],"")</f>
        <v/>
      </c>
      <c r="AQ66" s="36">
        <f>IF(Table_BDD[[#This Row],[Points]]&lt;0,Table_BDD[[#This Row],[Points]],"")</f>
        <v>-11.3</v>
      </c>
      <c r="AR66" s="36">
        <f>SUM($AO$4:AO66)</f>
        <v>94.300000000000011</v>
      </c>
      <c r="AS66" s="68">
        <f>IF(Table_BDD[[#This Row],[Position]]="","",IF(Table_BDD[[#This Row],[Conformité]]="Conforme",1,0))</f>
        <v>0</v>
      </c>
      <c r="AT66" s="68">
        <f>IF(Table_BDD[[#This Row],[Position]]="","",IF(Table_BDD[[#This Row],[Conformité]]="Non conforme",1,0))</f>
        <v>1</v>
      </c>
      <c r="AU66" s="37" t="s">
        <v>17</v>
      </c>
      <c r="AV66" s="37"/>
      <c r="AW66" s="37"/>
      <c r="AX66" s="37">
        <v>0</v>
      </c>
      <c r="AY66" s="37">
        <v>0</v>
      </c>
      <c r="AZ66" s="37">
        <v>0</v>
      </c>
      <c r="BA66" s="40" t="str">
        <f>IF(Table_BDD[[#This Row],[Position]]="","Sans objet",IF(AND(Table_BDD[[#This Row],[Type]]="sell",Table_BDD[[#This Row],[S / L]]&lt;Table_BDD[[#This Row],[Lvl Entrée]],Table_BDD[[#This Row],[Lvl Sortie]]&lt;=Table_BDD[[#This Row],[S / L]]+2,Table_BDD[[#This Row],[Lvl Sortie]]&lt;Table_BDD[[#This Row],[Lvl Entrée]]-19),"Oui",IF(AND(Table_BDD[[#This Row],[Type]]="buy",Table_BDD[[#This Row],[S / L]]&gt;Table_BDD[[#This Row],[Lvl Entrée]],Table_BDD[[#This Row],[Lvl Sortie]]&gt;=Table_BDD[[#This Row],[S / L]]-2,Table_BDD[[#This Row],[S / L]]&gt;Table_BDD[[#This Row],[Lvl Entrée]]+19),"Oui","Non")))</f>
        <v>Non</v>
      </c>
      <c r="BB66" s="40" t="str">
        <f>IF(Table_BDD[[#This Row],[Position]]="","Sans objet",IF(AND(Table_BDD[[#This Row],[Type]]="sell",Table_BDD[[#This Row],[S / L]]&lt;Table_BDD[[#This Row],[Lvl Entrée]],Table_BDD[[#This Row],[Points]]&gt;=-1),"Oui",IF(AND(Table_BDD[[#This Row],[Type]]="sell",Table_BDD[[#This Row],[S / L]]&gt;Table_BDD[[#This Row],[Lvl Entrée]]),"Non",IF(AND(Table_BDD[[#This Row],[Type]]="buy",Table_BDD[[#This Row],[S / L]]&lt;Table_BDD[[#This Row],[Lvl Entrée]]),"Non",IF(AND(Table_BDD[[#This Row],[Type]]="buy",Table_BDD[[#This Row],[S / L]]&gt;Table_BDD[[#This Row],[Lvl Entrée]],Table_BDD[[#This Row],[Points]]&gt;=-1),"Oui")))))</f>
        <v>Non</v>
      </c>
      <c r="BC66" s="40" t="str">
        <f>IF(Table_BDD[[#This Row],[Position]]="","Sans objet",IF(Table_BDD[[#This Row],[T / P]]="","Non",IF(AND(Table_BDD[[#This Row],[Type]]="sell",Table_BDD[[#This Row],[Lvl Sortie]]&lt;=Table_BDD[[#This Row],[T / P]]),"Oui",IF(AND(Table_BDD[[#This Row],[Type]]="buy",Table_BDD[[#This Row],[Lvl Sortie]]&gt;=Table_BDD[[#This Row],[T / P]]),"Oui","Non"))))</f>
        <v>Non</v>
      </c>
      <c r="BD66" s="91">
        <f t="array" ref="BD66">IFERROR(INDEX(downloadFile[#All],MATCH(Table_BDD[[#This Row],[Date]],downloadFile[[#All],[Column1]],0),2),BD65)</f>
        <v>1.0951</v>
      </c>
      <c r="BE66" s="89">
        <f>IF(Table_BDD[[#This Row],[Position]]="","",IF(Table_BDD[[#This Row],[Symbole]]="UsaInd",(Table_BDD[[#This Row],[Volume]]*Table_BDD[[#This Row],[Lvl Entrée]])/(Table_BDD[[#This Row],[Equité avant trade]]*Table_BDD[[#This Row],[EUR/USD]]),IF(Table_BDD[[#This Row],[Symbole]]="Ger30",(Table_BDD[[#This Row],[Volume]]*Table_BDD[[#This Row],[Lvl Entrée]])/Table_BDD[[#This Row],[Equité avant trade]],)))</f>
        <v>12.675794793836237</v>
      </c>
      <c r="BF66" s="38">
        <f>IF(Table_BDD[[#This Row],[Position]]="","",IF(Table_BDD[[#This Row],[Conformité]]="Non conforme",0,(MROUND(3*((Table_BDD[[#This Row],[Conviction]]+Table_BDD[[#This Row],[Timing]]+Table_BDD[[#This Row],[Sortie]])+1)-2,1))))</f>
        <v>0</v>
      </c>
      <c r="BG66" s="38" t="str">
        <f>IF(Table_BDD[[#This Row],[Position]]="","",IF(Table_BDD[[#This Row],[Points]]&lt;-5,"--",IF(AND(Table_BDD[[#This Row],[Points]]&gt;=-5,Table_BDD[[#This Row],[Points]]&lt;-1.5),"-",IF(AND(Table_BDD[[#This Row],[Points]]&gt;=-1.5,Table_BDD[[#This Row],[Points]]&lt;1.5),"0",IF(AND(Table_BDD[[#This Row],[Points]]&gt;=1.5,Table_BDD[[#This Row],[Points]]&lt;=70),"+",IF(Table_BDD[[#This Row],[Points]]&gt;70,"++"))))))</f>
        <v>--</v>
      </c>
      <c r="BH66" s="37" t="str">
        <f>IF(Table_BDD[[#This Row],[Position]]="","",IF(Table_BDD[[#This Row],[Points]]&gt;0,"Gagnant",IF(Table_BDD[[#This Row],[Points]]=0,"Flat","Perdant")))</f>
        <v>Perdant</v>
      </c>
      <c r="BI66" s="40">
        <f>IF(Table_BDD[[#This Row],[Position]]="","",IF(Table_BDD[[#This Row],[Résultat]]="Gagnant",1,0))</f>
        <v>0</v>
      </c>
      <c r="BJ66" s="40">
        <f>IF(Table_BDD[[#This Row],[Position]]="","",IF(Table_BDD[[#This Row],[Résultat]]="Perdant",1,0))</f>
        <v>1</v>
      </c>
      <c r="BK66" s="40"/>
      <c r="BL66" s="145">
        <f>IF(Table_BDD[[#This Row],[T / P]]="","",Table_BDD[[#This Row],[T / P]])</f>
        <v>29001.79</v>
      </c>
      <c r="BM66" s="147"/>
      <c r="BN66" s="147"/>
      <c r="BO66" s="147"/>
      <c r="BP66" s="147"/>
      <c r="BQ66" s="127"/>
    </row>
    <row r="67" spans="1:69" x14ac:dyDescent="0.2">
      <c r="A67" s="93">
        <v>43871.654293981483</v>
      </c>
      <c r="B67" s="94">
        <v>259690510</v>
      </c>
      <c r="C67" s="37" t="s">
        <v>8</v>
      </c>
      <c r="D67" s="37" t="s">
        <v>10</v>
      </c>
      <c r="E67" s="37">
        <v>0.5</v>
      </c>
      <c r="F67" s="95">
        <v>29104.14</v>
      </c>
      <c r="G67" s="95">
        <v>29102.639999999999</v>
      </c>
      <c r="H67" s="95">
        <v>29034.14</v>
      </c>
      <c r="I67" s="93">
        <v>43871.661886574075</v>
      </c>
      <c r="J67" s="95">
        <v>29102.86</v>
      </c>
      <c r="K67" s="95">
        <v>0</v>
      </c>
      <c r="L67" s="95">
        <v>0</v>
      </c>
      <c r="M67" s="32">
        <v>0.59</v>
      </c>
      <c r="N67" s="148">
        <f>IF(Table_BDD[[#This Row],[Position]]="","",ROW()-3)</f>
        <v>64</v>
      </c>
      <c r="O67" s="32">
        <f>SUM($L$4:M67)</f>
        <v>43.67000000000003</v>
      </c>
      <c r="P67" s="32">
        <f>Table_BDD[[#This Row],[Equité avant trade]]+Table_BDD[[#This Row],[Profit]]+Table_BDD[[#This Row],[Echange]]</f>
        <v>1043.67</v>
      </c>
      <c r="Q67" s="52">
        <f>INT(Table_BDD[[#This Row],[Horodatage cloture]])</f>
        <v>43871</v>
      </c>
      <c r="R67" s="34">
        <f>WEEKNUM(Table_BDD[[#This Row],[Horodatage cloture]],2)</f>
        <v>7</v>
      </c>
      <c r="S67" s="61">
        <f>WEEKDAY(Table_BDD[[#This Row],[Horodatage cloture]])</f>
        <v>2</v>
      </c>
      <c r="T67" s="63">
        <f>HOUR(Table_BDD[[#This Row],[Horodatage cloture]])</f>
        <v>15</v>
      </c>
      <c r="U67" s="68">
        <f>IF(Table_BDD[[#This Row],[Position]]="","",IF(Table_BDD[[#This Row],[Valeur début de journée unique]]&lt;&gt;0,1,0))</f>
        <v>0</v>
      </c>
      <c r="V67" s="68" t="str">
        <f>IF(Table_BDD[[#This Row],[Nb de séance de trading]]=1,COUNTIF(Table_BDD[Date],Table_BDD[[#This Row],[Date]]),"")</f>
        <v/>
      </c>
      <c r="W67" s="33">
        <f>IF(Table_BDD[[#This Row],[Position]]="","",IF(Table_BDD[[#This Row],[Type]]="buy",ROUND(Table_BDD[[#This Row],[Lvl Entrée]]-Table_BDD[[#This Row],[S / L]],1),ROUND(Table_BDD[[#This Row],[S / L]]-Table_BDD[[#This Row],[Lvl Entrée]],1)))</f>
        <v>-1.5</v>
      </c>
      <c r="X67" s="33">
        <f>IF(Table_BDD[[#This Row],[Position]]="","",IF(Table_BDD[[#This Row],[T / P]]=0,200,IF(Table_BDD[[#This Row],[Type]]="buy",ROUND(Table_BDD[[#This Row],[T / P]]-Table_BDD[[#This Row],[Lvl Entrée]],1),ROUND(Table_BDD[[#This Row],[Lvl Entrée]]-Table_BDD[[#This Row],[T / P]],1))))</f>
        <v>70</v>
      </c>
      <c r="Y67" s="34">
        <f>IF(Table_BDD[[#This Row],[Position]]="","",IF(Table_BDD[[#This Row],[Ecart du SL]]&gt;0,ROUND(ABS(Table_BDD[[#This Row],[Ecart du TP]])/ABS(Table_BDD[[#This Row],[Ecart du SL]]),1),ROUND(ABS(Table_BDD[[#This Row],[Ecart du TP]])/10,1)))</f>
        <v>7</v>
      </c>
      <c r="Z67" s="34">
        <f>IF(Table_BDD[[#This Row],[Position]]="","",IF(Table_BDD[[#This Row],[Ecart du SL]]&lt;0,IF(AND(Table_BDD[[#This Row],[Profit]]&gt;0,Table_BDD[[#This Row],[Type]]="sell"),ROUND((Table_BDD[[#This Row],[Lvl Entrée]]-Table_BDD[[#This Row],[Lvl Sortie]])/(10),1),IF(AND(Table_BDD[[#This Row],[Profit]]&gt;0,Table_BDD[[#This Row],[Type]]="buy"),ROUND((Table_BDD[[#This Row],[Lvl Sortie]]-Table_BDD[[#This Row],[Lvl Entrée]])/(10),1),)),IF(AND(Table_BDD[[#This Row],[Profit]]&gt;0,Table_BDD[[#This Row],[Type]]="sell"),ROUND((Table_BDD[[#This Row],[Lvl Entrée]]-Table_BDD[[#This Row],[Lvl Sortie]])/(Table_BDD[[#This Row],[S / L]]-Table_BDD[[#This Row],[Lvl Entrée]]),1),IF(AND(Table_BDD[[#This Row],[Profit]]&gt;0,Table_BDD[[#This Row],[Type]]="buy"),ROUND((Table_BDD[[#This Row],[Lvl Sortie]]-Table_BDD[[#This Row],[Lvl Entrée]])/(Table_BDD[[#This Row],[Lvl Entrée]]-Table_BDD[[#This Row],[S / L]]),1),ROUND(Table_BDD[[#This Row],[Points]]/10,1)))))</f>
        <v>0.1</v>
      </c>
      <c r="AA67" s="32">
        <f>IF(Table_BDD[[#This Row],[Position]]="",AA66,Table_BDD[[#This Row],[Equité après trade]]-Table_BDD[[#This Row],[Profit]]-Table_BDD[[#This Row],[Echange]])</f>
        <v>1043.0800000000002</v>
      </c>
      <c r="AB67" s="149">
        <f>$B$1+SUM($L$4:M67)</f>
        <v>1043.67</v>
      </c>
      <c r="AC67" s="150">
        <f>IF(Table_BDD[[#This Row],[Position]]="","",_xlfn.MINIFS(Table_BDD[Horodatage ouverture],Table_BDD[Date],Table_BDD[Date]))</f>
        <v>43871.627708333333</v>
      </c>
      <c r="AD67" s="149">
        <f>VLOOKUP(_xlfn.MINIFS(Table_BDD[Horodatage ouverture],Table_BDD[Date],Table_BDD[Date]),Table_BDD[[Horodatage ouverture]:[Heure derniere valeur]],AA$2)</f>
        <v>1047.8899999999999</v>
      </c>
      <c r="AE67" s="149">
        <f>IF(VLOOKUP(_xlfn.MINIFS(Table_BDD[Horodatage ouverture],Table_BDD[Date],Table_BDD[Date]),Table_BDD[[Horodatage ouverture]:[Heure derniere valeur]],AA$2)=Table_BDD[[#This Row],[Equité avant trade]],VLOOKUP(_xlfn.MINIFS(Table_BDD[Horodatage ouverture],Table_BDD[Date],Table_BDD[Date]),Table_BDD[[Horodatage ouverture]:[Heure derniere valeur]],AA$2),0)</f>
        <v>0</v>
      </c>
      <c r="AF67" s="150">
        <f>IF(Table_BDD[[#This Row],[Position]]="","",_xlfn.MAXIFS(Table_BDD[Horodatage ouverture],Table_BDD[Date],Table_BDD[Date]))</f>
        <v>43871.914259259262</v>
      </c>
      <c r="AG67" s="32">
        <f>VLOOKUP(_xlfn.MAXIFS(Table_BDD[Horodatage cloture],Table_BDD[Date],Table_BDD[Date]),Table_BDD[[Horodatage ouverture]:[Heure derniere valeur]],AB$2)</f>
        <v>984.33</v>
      </c>
      <c r="AH67" s="32">
        <f>IF(VLOOKUP(_xlfn.MAXIFS(Table_BDD[Horodatage cloture],Table_BDD[Date],Table_BDD[Date]),Table_BDD[[Horodatage ouverture]:[Heure derniere valeur]],AB$2)=Table_BDD[[#This Row],[Equité après trade]],VLOOKUP(_xlfn.MAXIFS(Table_BDD[Horodatage cloture],Table_BDD[Date],Table_BDD[Date]),Table_BDD[[Horodatage ouverture]:[Heure derniere valeur]],AB$2),0)</f>
        <v>0</v>
      </c>
      <c r="AI67" s="32" t="e">
        <f>IF(Table_BDD[[#This Row],[Valeur fin de journée unique]]=0,#N/A,Table_BDD[[#This Row],[Valeur fin de journée unique]])</f>
        <v>#N/A</v>
      </c>
      <c r="AJ67" s="35">
        <f>IF(Table_BDD[[#This Row],[Position]]="","",(Table_BDD[[#This Row],[Equité après trade]]-Table_BDD[[#This Row],[Equité avant trade]])/Table_BDD[[#This Row],[Equité avant trade]])</f>
        <v>5.6563254975641188E-4</v>
      </c>
      <c r="AK67" s="35" t="str">
        <f>IFERROR(((INDEX(Table_BDD[[Trade n°]:[Valeur fin de journée unique]],Table_BDD[[#This Row],[Nb de trade du jour]]+Table_BDD[[#This Row],[Trade n°]]-1,21))-Table_BDD[[#This Row],[Valeur début de journée unique]])/Table_BDD[[#This Row],[Valeur début de journée unique]],"")</f>
        <v/>
      </c>
      <c r="AL67" s="32">
        <f>IF(Table_BDD[[#This Row],[Position]]="","",MAX(Table_BDD[[#This Row],[Cumul équité]],AL66))</f>
        <v>1052.8399999999999</v>
      </c>
      <c r="AM67" s="32">
        <f>IF(Table_BDD[[#This Row],[Position]]="","",MIN(Table_BDD[[#This Row],[Cumul équité]],AL66))</f>
        <v>1043.67</v>
      </c>
      <c r="AN67" s="97">
        <f>IF(Table_BDD[[#This Row],[Sommet Drawdown]]&gt;AL66,"",Table_BDD[[#This Row],[Creux Drawdown]]/Table_BDD[[#This Row],[Sommet Drawdown]]-1)</f>
        <v>-8.7097754644578362E-3</v>
      </c>
      <c r="AO67" s="36">
        <f>IF(Table_BDD[[#This Row],[Position]]="","",IF(Table_BDD[[#This Row],[Type]]="buy",ROUND(Table_BDD[[#This Row],[Lvl Sortie]]-Table_BDD[[#This Row],[Lvl Entrée]],1),ROUND(Table_BDD[[#This Row],[Lvl Entrée]]-Table_BDD[[#This Row],[Lvl Sortie]],1)))</f>
        <v>1.3</v>
      </c>
      <c r="AP67" s="36">
        <f>IF(Table_BDD[[#This Row],[Points]]&gt;0,Table_BDD[[#This Row],[Points]],"")</f>
        <v>1.3</v>
      </c>
      <c r="AQ67" s="36" t="str">
        <f>IF(Table_BDD[[#This Row],[Points]]&lt;0,Table_BDD[[#This Row],[Points]],"")</f>
        <v/>
      </c>
      <c r="AR67" s="36">
        <f>SUM($AO$4:AO67)</f>
        <v>95.600000000000009</v>
      </c>
      <c r="AS67" s="68">
        <f>IF(Table_BDD[[#This Row],[Position]]="","",IF(Table_BDD[[#This Row],[Conformité]]="Conforme",1,0))</f>
        <v>0</v>
      </c>
      <c r="AT67" s="68">
        <f>IF(Table_BDD[[#This Row],[Position]]="","",IF(Table_BDD[[#This Row],[Conformité]]="Non conforme",1,0))</f>
        <v>1</v>
      </c>
      <c r="AU67" s="37" t="s">
        <v>17</v>
      </c>
      <c r="AV67" s="37"/>
      <c r="AW67" s="37"/>
      <c r="AX67" s="37">
        <v>0</v>
      </c>
      <c r="AY67" s="37">
        <v>0</v>
      </c>
      <c r="AZ67" s="37">
        <v>0</v>
      </c>
      <c r="BA67" s="40" t="str">
        <f>IF(Table_BDD[[#This Row],[Position]]="","Sans objet",IF(AND(Table_BDD[[#This Row],[Type]]="sell",Table_BDD[[#This Row],[S / L]]&lt;Table_BDD[[#This Row],[Lvl Entrée]],Table_BDD[[#This Row],[Lvl Sortie]]&lt;=Table_BDD[[#This Row],[S / L]]+2,Table_BDD[[#This Row],[Lvl Sortie]]&lt;Table_BDD[[#This Row],[Lvl Entrée]]-19),"Oui",IF(AND(Table_BDD[[#This Row],[Type]]="buy",Table_BDD[[#This Row],[S / L]]&gt;Table_BDD[[#This Row],[Lvl Entrée]],Table_BDD[[#This Row],[Lvl Sortie]]&gt;=Table_BDD[[#This Row],[S / L]]-2,Table_BDD[[#This Row],[S / L]]&gt;Table_BDD[[#This Row],[Lvl Entrée]]+19),"Oui","Non")))</f>
        <v>Non</v>
      </c>
      <c r="BB67" s="40" t="str">
        <f>IF(Table_BDD[[#This Row],[Position]]="","Sans objet",IF(AND(Table_BDD[[#This Row],[Type]]="sell",Table_BDD[[#This Row],[S / L]]&lt;Table_BDD[[#This Row],[Lvl Entrée]],Table_BDD[[#This Row],[Points]]&gt;=-1),"Oui",IF(AND(Table_BDD[[#This Row],[Type]]="sell",Table_BDD[[#This Row],[S / L]]&gt;Table_BDD[[#This Row],[Lvl Entrée]]),"Non",IF(AND(Table_BDD[[#This Row],[Type]]="buy",Table_BDD[[#This Row],[S / L]]&lt;Table_BDD[[#This Row],[Lvl Entrée]]),"Non",IF(AND(Table_BDD[[#This Row],[Type]]="buy",Table_BDD[[#This Row],[S / L]]&gt;Table_BDD[[#This Row],[Lvl Entrée]],Table_BDD[[#This Row],[Points]]&gt;=-1),"Oui")))))</f>
        <v>Oui</v>
      </c>
      <c r="BC67" s="40" t="str">
        <f>IF(Table_BDD[[#This Row],[Position]]="","Sans objet",IF(Table_BDD[[#This Row],[T / P]]="","Non",IF(AND(Table_BDD[[#This Row],[Type]]="sell",Table_BDD[[#This Row],[Lvl Sortie]]&lt;=Table_BDD[[#This Row],[T / P]]),"Oui",IF(AND(Table_BDD[[#This Row],[Type]]="buy",Table_BDD[[#This Row],[Lvl Sortie]]&gt;=Table_BDD[[#This Row],[T / P]]),"Oui","Non"))))</f>
        <v>Non</v>
      </c>
      <c r="BD67" s="91">
        <f t="array" ref="BD67">IFERROR(INDEX(downloadFile[#All],MATCH(Table_BDD[[#This Row],[Date]],downloadFile[[#All],[Column1]],0),2),BD66)</f>
        <v>1.0951</v>
      </c>
      <c r="BE67" s="89">
        <f>IF(Table_BDD[[#This Row],[Position]]="","",IF(Table_BDD[[#This Row],[Symbole]]="UsaInd",(Table_BDD[[#This Row],[Volume]]*Table_BDD[[#This Row],[Lvl Entrée]])/(Table_BDD[[#This Row],[Equité avant trade]]*Table_BDD[[#This Row],[EUR/USD]]),IF(Table_BDD[[#This Row],[Symbole]]="Ger30",(Table_BDD[[#This Row],[Volume]]*Table_BDD[[#This Row],[Lvl Entrée]])/Table_BDD[[#This Row],[Equité avant trade]],)))</f>
        <v>12.739529179031605</v>
      </c>
      <c r="BF67" s="38">
        <f>IF(Table_BDD[[#This Row],[Position]]="","",IF(Table_BDD[[#This Row],[Conformité]]="Non conforme",0,(MROUND(3*((Table_BDD[[#This Row],[Conviction]]+Table_BDD[[#This Row],[Timing]]+Table_BDD[[#This Row],[Sortie]])+1)-2,1))))</f>
        <v>0</v>
      </c>
      <c r="BG67" s="38" t="str">
        <f>IF(Table_BDD[[#This Row],[Position]]="","",IF(Table_BDD[[#This Row],[Points]]&lt;-5,"--",IF(AND(Table_BDD[[#This Row],[Points]]&gt;=-5,Table_BDD[[#This Row],[Points]]&lt;-1.5),"-",IF(AND(Table_BDD[[#This Row],[Points]]&gt;=-1.5,Table_BDD[[#This Row],[Points]]&lt;1.5),"0",IF(AND(Table_BDD[[#This Row],[Points]]&gt;=1.5,Table_BDD[[#This Row],[Points]]&lt;=70),"+",IF(Table_BDD[[#This Row],[Points]]&gt;70,"++"))))))</f>
        <v>0</v>
      </c>
      <c r="BH67" s="37" t="str">
        <f>IF(Table_BDD[[#This Row],[Position]]="","",IF(Table_BDD[[#This Row],[Points]]&gt;0,"Gagnant",IF(Table_BDD[[#This Row],[Points]]=0,"Flat","Perdant")))</f>
        <v>Gagnant</v>
      </c>
      <c r="BI67" s="40">
        <f>IF(Table_BDD[[#This Row],[Position]]="","",IF(Table_BDD[[#This Row],[Résultat]]="Gagnant",1,0))</f>
        <v>1</v>
      </c>
      <c r="BJ67" s="40">
        <f>IF(Table_BDD[[#This Row],[Position]]="","",IF(Table_BDD[[#This Row],[Résultat]]="Perdant",1,0))</f>
        <v>0</v>
      </c>
      <c r="BK67" s="40"/>
      <c r="BL67" s="145">
        <f>IF(Table_BDD[[#This Row],[T / P]]="","",Table_BDD[[#This Row],[T / P]])</f>
        <v>29034.14</v>
      </c>
      <c r="BM67" s="147"/>
      <c r="BN67" s="147"/>
      <c r="BO67" s="147"/>
      <c r="BP67" s="147"/>
      <c r="BQ67" s="127"/>
    </row>
    <row r="68" spans="1:69" x14ac:dyDescent="0.2">
      <c r="A68" s="93">
        <v>43871.664884259262</v>
      </c>
      <c r="B68" s="94">
        <v>259690945</v>
      </c>
      <c r="C68" s="37" t="s">
        <v>8</v>
      </c>
      <c r="D68" s="37" t="s">
        <v>10</v>
      </c>
      <c r="E68" s="37">
        <v>0.5</v>
      </c>
      <c r="F68" s="95">
        <v>29133.81</v>
      </c>
      <c r="G68" s="95">
        <v>29143.81</v>
      </c>
      <c r="H68" s="95"/>
      <c r="I68" s="93">
        <v>43871.666643518518</v>
      </c>
      <c r="J68" s="95">
        <v>29144</v>
      </c>
      <c r="K68" s="95">
        <v>0</v>
      </c>
      <c r="L68" s="95">
        <v>0</v>
      </c>
      <c r="M68" s="32">
        <v>-4.67</v>
      </c>
      <c r="N68" s="148">
        <f>IF(Table_BDD[[#This Row],[Position]]="","",ROW()-3)</f>
        <v>65</v>
      </c>
      <c r="O68" s="32">
        <f>SUM($L$4:M68)</f>
        <v>39.000000000000028</v>
      </c>
      <c r="P68" s="32">
        <f>Table_BDD[[#This Row],[Equité avant trade]]+Table_BDD[[#This Row],[Profit]]+Table_BDD[[#This Row],[Echange]]</f>
        <v>1039</v>
      </c>
      <c r="Q68" s="52">
        <f>INT(Table_BDD[[#This Row],[Horodatage cloture]])</f>
        <v>43871</v>
      </c>
      <c r="R68" s="34">
        <f>WEEKNUM(Table_BDD[[#This Row],[Horodatage cloture]],2)</f>
        <v>7</v>
      </c>
      <c r="S68" s="61">
        <f>WEEKDAY(Table_BDD[[#This Row],[Horodatage cloture]])</f>
        <v>2</v>
      </c>
      <c r="T68" s="63">
        <f>HOUR(Table_BDD[[#This Row],[Horodatage cloture]])</f>
        <v>15</v>
      </c>
      <c r="U68" s="68">
        <f>IF(Table_BDD[[#This Row],[Position]]="","",IF(Table_BDD[[#This Row],[Valeur début de journée unique]]&lt;&gt;0,1,0))</f>
        <v>0</v>
      </c>
      <c r="V68" s="68" t="str">
        <f>IF(Table_BDD[[#This Row],[Nb de séance de trading]]=1,COUNTIF(Table_BDD[Date],Table_BDD[[#This Row],[Date]]),"")</f>
        <v/>
      </c>
      <c r="W68" s="33">
        <f>IF(Table_BDD[[#This Row],[Position]]="","",IF(Table_BDD[[#This Row],[Type]]="buy",ROUND(Table_BDD[[#This Row],[Lvl Entrée]]-Table_BDD[[#This Row],[S / L]],1),ROUND(Table_BDD[[#This Row],[S / L]]-Table_BDD[[#This Row],[Lvl Entrée]],1)))</f>
        <v>10</v>
      </c>
      <c r="X68" s="33">
        <f>IF(Table_BDD[[#This Row],[Position]]="","",IF(Table_BDD[[#This Row],[T / P]]=0,200,IF(Table_BDD[[#This Row],[Type]]="buy",ROUND(Table_BDD[[#This Row],[T / P]]-Table_BDD[[#This Row],[Lvl Entrée]],1),ROUND(Table_BDD[[#This Row],[Lvl Entrée]]-Table_BDD[[#This Row],[T / P]],1))))</f>
        <v>200</v>
      </c>
      <c r="Y68" s="34">
        <f>IF(Table_BDD[[#This Row],[Position]]="","",IF(Table_BDD[[#This Row],[Ecart du SL]]&gt;0,ROUND(ABS(Table_BDD[[#This Row],[Ecart du TP]])/ABS(Table_BDD[[#This Row],[Ecart du SL]]),1),ROUND(ABS(Table_BDD[[#This Row],[Ecart du TP]])/10,1)))</f>
        <v>20</v>
      </c>
      <c r="Z68" s="34">
        <f>IF(Table_BDD[[#This Row],[Position]]="","",IF(Table_BDD[[#This Row],[Ecart du SL]]&lt;0,IF(AND(Table_BDD[[#This Row],[Profit]]&gt;0,Table_BDD[[#This Row],[Type]]="sell"),ROUND((Table_BDD[[#This Row],[Lvl Entrée]]-Table_BDD[[#This Row],[Lvl Sortie]])/(10),1),IF(AND(Table_BDD[[#This Row],[Profit]]&gt;0,Table_BDD[[#This Row],[Type]]="buy"),ROUND((Table_BDD[[#This Row],[Lvl Sortie]]-Table_BDD[[#This Row],[Lvl Entrée]])/(10),1),)),IF(AND(Table_BDD[[#This Row],[Profit]]&gt;0,Table_BDD[[#This Row],[Type]]="sell"),ROUND((Table_BDD[[#This Row],[Lvl Entrée]]-Table_BDD[[#This Row],[Lvl Sortie]])/(Table_BDD[[#This Row],[S / L]]-Table_BDD[[#This Row],[Lvl Entrée]]),1),IF(AND(Table_BDD[[#This Row],[Profit]]&gt;0,Table_BDD[[#This Row],[Type]]="buy"),ROUND((Table_BDD[[#This Row],[Lvl Sortie]]-Table_BDD[[#This Row],[Lvl Entrée]])/(Table_BDD[[#This Row],[Lvl Entrée]]-Table_BDD[[#This Row],[S / L]]),1),ROUND(Table_BDD[[#This Row],[Points]]/10,1)))))</f>
        <v>-1</v>
      </c>
      <c r="AA68" s="32">
        <f>IF(Table_BDD[[#This Row],[Position]]="",AA67,Table_BDD[[#This Row],[Equité après trade]]-Table_BDD[[#This Row],[Profit]]-Table_BDD[[#This Row],[Echange]])</f>
        <v>1043.67</v>
      </c>
      <c r="AB68" s="149">
        <f>$B$1+SUM($L$4:M68)</f>
        <v>1039</v>
      </c>
      <c r="AC68" s="150">
        <f>IF(Table_BDD[[#This Row],[Position]]="","",_xlfn.MINIFS(Table_BDD[Horodatage ouverture],Table_BDD[Date],Table_BDD[Date]))</f>
        <v>43871.627708333333</v>
      </c>
      <c r="AD68" s="149">
        <f>VLOOKUP(_xlfn.MINIFS(Table_BDD[Horodatage ouverture],Table_BDD[Date],Table_BDD[Date]),Table_BDD[[Horodatage ouverture]:[Heure derniere valeur]],AA$2)</f>
        <v>1047.8899999999999</v>
      </c>
      <c r="AE68" s="149">
        <f>IF(VLOOKUP(_xlfn.MINIFS(Table_BDD[Horodatage ouverture],Table_BDD[Date],Table_BDD[Date]),Table_BDD[[Horodatage ouverture]:[Heure derniere valeur]],AA$2)=Table_BDD[[#This Row],[Equité avant trade]],VLOOKUP(_xlfn.MINIFS(Table_BDD[Horodatage ouverture],Table_BDD[Date],Table_BDD[Date]),Table_BDD[[Horodatage ouverture]:[Heure derniere valeur]],AA$2),0)</f>
        <v>0</v>
      </c>
      <c r="AF68" s="150">
        <f>IF(Table_BDD[[#This Row],[Position]]="","",_xlfn.MAXIFS(Table_BDD[Horodatage ouverture],Table_BDD[Date],Table_BDD[Date]))</f>
        <v>43871.914259259262</v>
      </c>
      <c r="AG68" s="32">
        <f>VLOOKUP(_xlfn.MAXIFS(Table_BDD[Horodatage cloture],Table_BDD[Date],Table_BDD[Date]),Table_BDD[[Horodatage ouverture]:[Heure derniere valeur]],AB$2)</f>
        <v>984.33</v>
      </c>
      <c r="AH68" s="32">
        <f>IF(VLOOKUP(_xlfn.MAXIFS(Table_BDD[Horodatage cloture],Table_BDD[Date],Table_BDD[Date]),Table_BDD[[Horodatage ouverture]:[Heure derniere valeur]],AB$2)=Table_BDD[[#This Row],[Equité après trade]],VLOOKUP(_xlfn.MAXIFS(Table_BDD[Horodatage cloture],Table_BDD[Date],Table_BDD[Date]),Table_BDD[[Horodatage ouverture]:[Heure derniere valeur]],AB$2),0)</f>
        <v>0</v>
      </c>
      <c r="AI68" s="32" t="e">
        <f>IF(Table_BDD[[#This Row],[Valeur fin de journée unique]]=0,#N/A,Table_BDD[[#This Row],[Valeur fin de journée unique]])</f>
        <v>#N/A</v>
      </c>
      <c r="AJ68" s="35">
        <f>IF(Table_BDD[[#This Row],[Position]]="","",(Table_BDD[[#This Row],[Equité après trade]]-Table_BDD[[#This Row],[Equité avant trade]])/Table_BDD[[#This Row],[Equité avant trade]])</f>
        <v>-4.4745944599347233E-3</v>
      </c>
      <c r="AK68" s="35" t="str">
        <f>IFERROR(((INDEX(Table_BDD[[Trade n°]:[Valeur fin de journée unique]],Table_BDD[[#This Row],[Nb de trade du jour]]+Table_BDD[[#This Row],[Trade n°]]-1,21))-Table_BDD[[#This Row],[Valeur début de journée unique]])/Table_BDD[[#This Row],[Valeur début de journée unique]],"")</f>
        <v/>
      </c>
      <c r="AL68" s="32">
        <f>IF(Table_BDD[[#This Row],[Position]]="","",MAX(Table_BDD[[#This Row],[Cumul équité]],AL67))</f>
        <v>1052.8399999999999</v>
      </c>
      <c r="AM68" s="32">
        <f>IF(Table_BDD[[#This Row],[Position]]="","",MIN(Table_BDD[[#This Row],[Cumul équité]],AL67))</f>
        <v>1039</v>
      </c>
      <c r="AN68" s="97">
        <f>IF(Table_BDD[[#This Row],[Sommet Drawdown]]&gt;AL67,"",Table_BDD[[#This Row],[Creux Drawdown]]/Table_BDD[[#This Row],[Sommet Drawdown]]-1)</f>
        <v>-1.3145397211352106E-2</v>
      </c>
      <c r="AO68" s="36">
        <f>IF(Table_BDD[[#This Row],[Position]]="","",IF(Table_BDD[[#This Row],[Type]]="buy",ROUND(Table_BDD[[#This Row],[Lvl Sortie]]-Table_BDD[[#This Row],[Lvl Entrée]],1),ROUND(Table_BDD[[#This Row],[Lvl Entrée]]-Table_BDD[[#This Row],[Lvl Sortie]],1)))</f>
        <v>-10.199999999999999</v>
      </c>
      <c r="AP68" s="36" t="str">
        <f>IF(Table_BDD[[#This Row],[Points]]&gt;0,Table_BDD[[#This Row],[Points]],"")</f>
        <v/>
      </c>
      <c r="AQ68" s="36">
        <f>IF(Table_BDD[[#This Row],[Points]]&lt;0,Table_BDD[[#This Row],[Points]],"")</f>
        <v>-10.199999999999999</v>
      </c>
      <c r="AR68" s="36">
        <f>SUM($AO$4:AO68)</f>
        <v>85.4</v>
      </c>
      <c r="AS68" s="68">
        <f>IF(Table_BDD[[#This Row],[Position]]="","",IF(Table_BDD[[#This Row],[Conformité]]="Conforme",1,0))</f>
        <v>0</v>
      </c>
      <c r="AT68" s="68">
        <f>IF(Table_BDD[[#This Row],[Position]]="","",IF(Table_BDD[[#This Row],[Conformité]]="Non conforme",1,0))</f>
        <v>1</v>
      </c>
      <c r="AU68" s="37" t="s">
        <v>17</v>
      </c>
      <c r="AV68" s="37"/>
      <c r="AW68" s="37"/>
      <c r="AX68" s="37">
        <v>0</v>
      </c>
      <c r="AY68" s="37">
        <v>0</v>
      </c>
      <c r="AZ68" s="37">
        <v>0</v>
      </c>
      <c r="BA68" s="40" t="str">
        <f>IF(Table_BDD[[#This Row],[Position]]="","Sans objet",IF(AND(Table_BDD[[#This Row],[Type]]="sell",Table_BDD[[#This Row],[S / L]]&lt;Table_BDD[[#This Row],[Lvl Entrée]],Table_BDD[[#This Row],[Lvl Sortie]]&lt;=Table_BDD[[#This Row],[S / L]]+2,Table_BDD[[#This Row],[Lvl Sortie]]&lt;Table_BDD[[#This Row],[Lvl Entrée]]-19),"Oui",IF(AND(Table_BDD[[#This Row],[Type]]="buy",Table_BDD[[#This Row],[S / L]]&gt;Table_BDD[[#This Row],[Lvl Entrée]],Table_BDD[[#This Row],[Lvl Sortie]]&gt;=Table_BDD[[#This Row],[S / L]]-2,Table_BDD[[#This Row],[S / L]]&gt;Table_BDD[[#This Row],[Lvl Entrée]]+19),"Oui","Non")))</f>
        <v>Non</v>
      </c>
      <c r="BB68" s="40" t="str">
        <f>IF(Table_BDD[[#This Row],[Position]]="","Sans objet",IF(AND(Table_BDD[[#This Row],[Type]]="sell",Table_BDD[[#This Row],[S / L]]&lt;Table_BDD[[#This Row],[Lvl Entrée]],Table_BDD[[#This Row],[Points]]&gt;=-1),"Oui",IF(AND(Table_BDD[[#This Row],[Type]]="sell",Table_BDD[[#This Row],[S / L]]&gt;Table_BDD[[#This Row],[Lvl Entrée]]),"Non",IF(AND(Table_BDD[[#This Row],[Type]]="buy",Table_BDD[[#This Row],[S / L]]&lt;Table_BDD[[#This Row],[Lvl Entrée]]),"Non",IF(AND(Table_BDD[[#This Row],[Type]]="buy",Table_BDD[[#This Row],[S / L]]&gt;Table_BDD[[#This Row],[Lvl Entrée]],Table_BDD[[#This Row],[Points]]&gt;=-1),"Oui")))))</f>
        <v>Non</v>
      </c>
      <c r="BC68" s="40" t="str">
        <f>IF(Table_BDD[[#This Row],[Position]]="","Sans objet",IF(Table_BDD[[#This Row],[T / P]]="","Non",IF(AND(Table_BDD[[#This Row],[Type]]="sell",Table_BDD[[#This Row],[Lvl Sortie]]&lt;=Table_BDD[[#This Row],[T / P]]),"Oui",IF(AND(Table_BDD[[#This Row],[Type]]="buy",Table_BDD[[#This Row],[Lvl Sortie]]&gt;=Table_BDD[[#This Row],[T / P]]),"Oui","Non"))))</f>
        <v>Non</v>
      </c>
      <c r="BD68" s="91">
        <f t="array" ref="BD68">IFERROR(INDEX(downloadFile[#All],MATCH(Table_BDD[[#This Row],[Date]],downloadFile[[#All],[Column1]],0),2),BD67)</f>
        <v>1.0951</v>
      </c>
      <c r="BE68" s="89">
        <f>IF(Table_BDD[[#This Row],[Position]]="","",IF(Table_BDD[[#This Row],[Symbole]]="UsaInd",(Table_BDD[[#This Row],[Volume]]*Table_BDD[[#This Row],[Lvl Entrée]])/(Table_BDD[[#This Row],[Equité avant trade]]*Table_BDD[[#This Row],[EUR/USD]]),IF(Table_BDD[[#This Row],[Symbole]]="Ger30",(Table_BDD[[#This Row],[Volume]]*Table_BDD[[#This Row],[Lvl Entrée]])/Table_BDD[[#This Row],[Equité avant trade]],)))</f>
        <v>12.745307237084017</v>
      </c>
      <c r="BF68" s="38">
        <f>IF(Table_BDD[[#This Row],[Position]]="","",IF(Table_BDD[[#This Row],[Conformité]]="Non conforme",0,(MROUND(3*((Table_BDD[[#This Row],[Conviction]]+Table_BDD[[#This Row],[Timing]]+Table_BDD[[#This Row],[Sortie]])+1)-2,1))))</f>
        <v>0</v>
      </c>
      <c r="BG68" s="38" t="str">
        <f>IF(Table_BDD[[#This Row],[Position]]="","",IF(Table_BDD[[#This Row],[Points]]&lt;-5,"--",IF(AND(Table_BDD[[#This Row],[Points]]&gt;=-5,Table_BDD[[#This Row],[Points]]&lt;-1.5),"-",IF(AND(Table_BDD[[#This Row],[Points]]&gt;=-1.5,Table_BDD[[#This Row],[Points]]&lt;1.5),"0",IF(AND(Table_BDD[[#This Row],[Points]]&gt;=1.5,Table_BDD[[#This Row],[Points]]&lt;=70),"+",IF(Table_BDD[[#This Row],[Points]]&gt;70,"++"))))))</f>
        <v>--</v>
      </c>
      <c r="BH68" s="37" t="str">
        <f>IF(Table_BDD[[#This Row],[Position]]="","",IF(Table_BDD[[#This Row],[Points]]&gt;0,"Gagnant",IF(Table_BDD[[#This Row],[Points]]=0,"Flat","Perdant")))</f>
        <v>Perdant</v>
      </c>
      <c r="BI68" s="40">
        <f>IF(Table_BDD[[#This Row],[Position]]="","",IF(Table_BDD[[#This Row],[Résultat]]="Gagnant",1,0))</f>
        <v>0</v>
      </c>
      <c r="BJ68" s="40">
        <f>IF(Table_BDD[[#This Row],[Position]]="","",IF(Table_BDD[[#This Row],[Résultat]]="Perdant",1,0))</f>
        <v>1</v>
      </c>
      <c r="BK68" s="40"/>
      <c r="BL68" s="145" t="str">
        <f>IF(Table_BDD[[#This Row],[T / P]]="","",Table_BDD[[#This Row],[T / P]])</f>
        <v/>
      </c>
      <c r="BM68" s="147"/>
      <c r="BN68" s="147"/>
      <c r="BO68" s="147"/>
      <c r="BP68" s="147"/>
      <c r="BQ68" s="127"/>
    </row>
    <row r="69" spans="1:69" x14ac:dyDescent="0.2">
      <c r="A69" s="93">
        <v>43871.668749999997</v>
      </c>
      <c r="B69" s="94">
        <v>259693490</v>
      </c>
      <c r="C69" s="37" t="s">
        <v>8</v>
      </c>
      <c r="D69" s="37" t="s">
        <v>10</v>
      </c>
      <c r="E69" s="37">
        <v>0.5</v>
      </c>
      <c r="F69" s="95">
        <v>29152</v>
      </c>
      <c r="G69" s="95">
        <v>29161.02</v>
      </c>
      <c r="H69" s="95">
        <v>29051.02</v>
      </c>
      <c r="I69" s="93">
        <v>43871.668993055559</v>
      </c>
      <c r="J69" s="95">
        <v>29161.06</v>
      </c>
      <c r="K69" s="95">
        <v>0</v>
      </c>
      <c r="L69" s="95">
        <v>0</v>
      </c>
      <c r="M69" s="32">
        <v>-4.1500000000000004</v>
      </c>
      <c r="N69" s="148">
        <f>IF(Table_BDD[[#This Row],[Position]]="","",ROW()-3)</f>
        <v>66</v>
      </c>
      <c r="O69" s="32">
        <f>SUM($L$4:M69)</f>
        <v>34.85000000000003</v>
      </c>
      <c r="P69" s="32">
        <f>Table_BDD[[#This Row],[Equité avant trade]]+Table_BDD[[#This Row],[Profit]]+Table_BDD[[#This Row],[Echange]]</f>
        <v>1034.8500000000001</v>
      </c>
      <c r="Q69" s="52">
        <f>INT(Table_BDD[[#This Row],[Horodatage cloture]])</f>
        <v>43871</v>
      </c>
      <c r="R69" s="34">
        <f>WEEKNUM(Table_BDD[[#This Row],[Horodatage cloture]],2)</f>
        <v>7</v>
      </c>
      <c r="S69" s="61">
        <f>WEEKDAY(Table_BDD[[#This Row],[Horodatage cloture]])</f>
        <v>2</v>
      </c>
      <c r="T69" s="63">
        <f>HOUR(Table_BDD[[#This Row],[Horodatage cloture]])</f>
        <v>16</v>
      </c>
      <c r="U69" s="68">
        <f>IF(Table_BDD[[#This Row],[Position]]="","",IF(Table_BDD[[#This Row],[Valeur début de journée unique]]&lt;&gt;0,1,0))</f>
        <v>0</v>
      </c>
      <c r="V69" s="68" t="str">
        <f>IF(Table_BDD[[#This Row],[Nb de séance de trading]]=1,COUNTIF(Table_BDD[Date],Table_BDD[[#This Row],[Date]]),"")</f>
        <v/>
      </c>
      <c r="W69" s="33">
        <f>IF(Table_BDD[[#This Row],[Position]]="","",IF(Table_BDD[[#This Row],[Type]]="buy",ROUND(Table_BDD[[#This Row],[Lvl Entrée]]-Table_BDD[[#This Row],[S / L]],1),ROUND(Table_BDD[[#This Row],[S / L]]-Table_BDD[[#This Row],[Lvl Entrée]],1)))</f>
        <v>9</v>
      </c>
      <c r="X69" s="33">
        <f>IF(Table_BDD[[#This Row],[Position]]="","",IF(Table_BDD[[#This Row],[T / P]]=0,200,IF(Table_BDD[[#This Row],[Type]]="buy",ROUND(Table_BDD[[#This Row],[T / P]]-Table_BDD[[#This Row],[Lvl Entrée]],1),ROUND(Table_BDD[[#This Row],[Lvl Entrée]]-Table_BDD[[#This Row],[T / P]],1))))</f>
        <v>101</v>
      </c>
      <c r="Y69" s="34">
        <f>IF(Table_BDD[[#This Row],[Position]]="","",IF(Table_BDD[[#This Row],[Ecart du SL]]&gt;0,ROUND(ABS(Table_BDD[[#This Row],[Ecart du TP]])/ABS(Table_BDD[[#This Row],[Ecart du SL]]),1),ROUND(ABS(Table_BDD[[#This Row],[Ecart du TP]])/10,1)))</f>
        <v>11.2</v>
      </c>
      <c r="Z69" s="34">
        <f>IF(Table_BDD[[#This Row],[Position]]="","",IF(Table_BDD[[#This Row],[Ecart du SL]]&lt;0,IF(AND(Table_BDD[[#This Row],[Profit]]&gt;0,Table_BDD[[#This Row],[Type]]="sell"),ROUND((Table_BDD[[#This Row],[Lvl Entrée]]-Table_BDD[[#This Row],[Lvl Sortie]])/(10),1),IF(AND(Table_BDD[[#This Row],[Profit]]&gt;0,Table_BDD[[#This Row],[Type]]="buy"),ROUND((Table_BDD[[#This Row],[Lvl Sortie]]-Table_BDD[[#This Row],[Lvl Entrée]])/(10),1),)),IF(AND(Table_BDD[[#This Row],[Profit]]&gt;0,Table_BDD[[#This Row],[Type]]="sell"),ROUND((Table_BDD[[#This Row],[Lvl Entrée]]-Table_BDD[[#This Row],[Lvl Sortie]])/(Table_BDD[[#This Row],[S / L]]-Table_BDD[[#This Row],[Lvl Entrée]]),1),IF(AND(Table_BDD[[#This Row],[Profit]]&gt;0,Table_BDD[[#This Row],[Type]]="buy"),ROUND((Table_BDD[[#This Row],[Lvl Sortie]]-Table_BDD[[#This Row],[Lvl Entrée]])/(Table_BDD[[#This Row],[Lvl Entrée]]-Table_BDD[[#This Row],[S / L]]),1),ROUND(Table_BDD[[#This Row],[Points]]/10,1)))))</f>
        <v>-0.9</v>
      </c>
      <c r="AA69" s="32">
        <f>IF(Table_BDD[[#This Row],[Position]]="",AA68,Table_BDD[[#This Row],[Equité après trade]]-Table_BDD[[#This Row],[Profit]]-Table_BDD[[#This Row],[Echange]])</f>
        <v>1039.0000000000002</v>
      </c>
      <c r="AB69" s="149">
        <f>$B$1+SUM($L$4:M69)</f>
        <v>1034.8500000000001</v>
      </c>
      <c r="AC69" s="150">
        <f>IF(Table_BDD[[#This Row],[Position]]="","",_xlfn.MINIFS(Table_BDD[Horodatage ouverture],Table_BDD[Date],Table_BDD[Date]))</f>
        <v>43871.627708333333</v>
      </c>
      <c r="AD69" s="149">
        <f>VLOOKUP(_xlfn.MINIFS(Table_BDD[Horodatage ouverture],Table_BDD[Date],Table_BDD[Date]),Table_BDD[[Horodatage ouverture]:[Heure derniere valeur]],AA$2)</f>
        <v>1047.8899999999999</v>
      </c>
      <c r="AE69" s="149">
        <f>IF(VLOOKUP(_xlfn.MINIFS(Table_BDD[Horodatage ouverture],Table_BDD[Date],Table_BDD[Date]),Table_BDD[[Horodatage ouverture]:[Heure derniere valeur]],AA$2)=Table_BDD[[#This Row],[Equité avant trade]],VLOOKUP(_xlfn.MINIFS(Table_BDD[Horodatage ouverture],Table_BDD[Date],Table_BDD[Date]),Table_BDD[[Horodatage ouverture]:[Heure derniere valeur]],AA$2),0)</f>
        <v>0</v>
      </c>
      <c r="AF69" s="150">
        <f>IF(Table_BDD[[#This Row],[Position]]="","",_xlfn.MAXIFS(Table_BDD[Horodatage ouverture],Table_BDD[Date],Table_BDD[Date]))</f>
        <v>43871.914259259262</v>
      </c>
      <c r="AG69" s="32">
        <f>VLOOKUP(_xlfn.MAXIFS(Table_BDD[Horodatage cloture],Table_BDD[Date],Table_BDD[Date]),Table_BDD[[Horodatage ouverture]:[Heure derniere valeur]],AB$2)</f>
        <v>984.33</v>
      </c>
      <c r="AH69" s="32">
        <f>IF(VLOOKUP(_xlfn.MAXIFS(Table_BDD[Horodatage cloture],Table_BDD[Date],Table_BDD[Date]),Table_BDD[[Horodatage ouverture]:[Heure derniere valeur]],AB$2)=Table_BDD[[#This Row],[Equité après trade]],VLOOKUP(_xlfn.MAXIFS(Table_BDD[Horodatage cloture],Table_BDD[Date],Table_BDD[Date]),Table_BDD[[Horodatage ouverture]:[Heure derniere valeur]],AB$2),0)</f>
        <v>0</v>
      </c>
      <c r="AI69" s="32" t="e">
        <f>IF(Table_BDD[[#This Row],[Valeur fin de journée unique]]=0,#N/A,Table_BDD[[#This Row],[Valeur fin de journée unique]])</f>
        <v>#N/A</v>
      </c>
      <c r="AJ69" s="35">
        <f>IF(Table_BDD[[#This Row],[Position]]="","",(Table_BDD[[#This Row],[Equité après trade]]-Table_BDD[[#This Row],[Equité avant trade]])/Table_BDD[[#This Row],[Equité avant trade]])</f>
        <v>-3.9942252165544659E-3</v>
      </c>
      <c r="AK69" s="35" t="str">
        <f>IFERROR(((INDEX(Table_BDD[[Trade n°]:[Valeur fin de journée unique]],Table_BDD[[#This Row],[Nb de trade du jour]]+Table_BDD[[#This Row],[Trade n°]]-1,21))-Table_BDD[[#This Row],[Valeur début de journée unique]])/Table_BDD[[#This Row],[Valeur début de journée unique]],"")</f>
        <v/>
      </c>
      <c r="AL69" s="32">
        <f>IF(Table_BDD[[#This Row],[Position]]="","",MAX(Table_BDD[[#This Row],[Cumul équité]],AL68))</f>
        <v>1052.8399999999999</v>
      </c>
      <c r="AM69" s="32">
        <f>IF(Table_BDD[[#This Row],[Position]]="","",MIN(Table_BDD[[#This Row],[Cumul équité]],AL68))</f>
        <v>1034.8500000000001</v>
      </c>
      <c r="AN69" s="97">
        <f>IF(Table_BDD[[#This Row],[Sommet Drawdown]]&gt;AL68,"",Table_BDD[[#This Row],[Creux Drawdown]]/Table_BDD[[#This Row],[Sommet Drawdown]]-1)</f>
        <v>-1.7087116750883147E-2</v>
      </c>
      <c r="AO69" s="36">
        <f>IF(Table_BDD[[#This Row],[Position]]="","",IF(Table_BDD[[#This Row],[Type]]="buy",ROUND(Table_BDD[[#This Row],[Lvl Sortie]]-Table_BDD[[#This Row],[Lvl Entrée]],1),ROUND(Table_BDD[[#This Row],[Lvl Entrée]]-Table_BDD[[#This Row],[Lvl Sortie]],1)))</f>
        <v>-9.1</v>
      </c>
      <c r="AP69" s="36" t="str">
        <f>IF(Table_BDD[[#This Row],[Points]]&gt;0,Table_BDD[[#This Row],[Points]],"")</f>
        <v/>
      </c>
      <c r="AQ69" s="36">
        <f>IF(Table_BDD[[#This Row],[Points]]&lt;0,Table_BDD[[#This Row],[Points]],"")</f>
        <v>-9.1</v>
      </c>
      <c r="AR69" s="36">
        <f>SUM($AO$4:AO69)</f>
        <v>76.300000000000011</v>
      </c>
      <c r="AS69" s="68">
        <f>IF(Table_BDD[[#This Row],[Position]]="","",IF(Table_BDD[[#This Row],[Conformité]]="Conforme",1,0))</f>
        <v>0</v>
      </c>
      <c r="AT69" s="68">
        <f>IF(Table_BDD[[#This Row],[Position]]="","",IF(Table_BDD[[#This Row],[Conformité]]="Non conforme",1,0))</f>
        <v>1</v>
      </c>
      <c r="AU69" s="37" t="s">
        <v>17</v>
      </c>
      <c r="AV69" s="37"/>
      <c r="AW69" s="37"/>
      <c r="AX69" s="37">
        <v>0</v>
      </c>
      <c r="AY69" s="37">
        <v>0</v>
      </c>
      <c r="AZ69" s="37">
        <v>0</v>
      </c>
      <c r="BA69" s="40" t="str">
        <f>IF(Table_BDD[[#This Row],[Position]]="","Sans objet",IF(AND(Table_BDD[[#This Row],[Type]]="sell",Table_BDD[[#This Row],[S / L]]&lt;Table_BDD[[#This Row],[Lvl Entrée]],Table_BDD[[#This Row],[Lvl Sortie]]&lt;=Table_BDD[[#This Row],[S / L]]+2,Table_BDD[[#This Row],[Lvl Sortie]]&lt;Table_BDD[[#This Row],[Lvl Entrée]]-19),"Oui",IF(AND(Table_BDD[[#This Row],[Type]]="buy",Table_BDD[[#This Row],[S / L]]&gt;Table_BDD[[#This Row],[Lvl Entrée]],Table_BDD[[#This Row],[Lvl Sortie]]&gt;=Table_BDD[[#This Row],[S / L]]-2,Table_BDD[[#This Row],[S / L]]&gt;Table_BDD[[#This Row],[Lvl Entrée]]+19),"Oui","Non")))</f>
        <v>Non</v>
      </c>
      <c r="BB69" s="40" t="str">
        <f>IF(Table_BDD[[#This Row],[Position]]="","Sans objet",IF(AND(Table_BDD[[#This Row],[Type]]="sell",Table_BDD[[#This Row],[S / L]]&lt;Table_BDD[[#This Row],[Lvl Entrée]],Table_BDD[[#This Row],[Points]]&gt;=-1),"Oui",IF(AND(Table_BDD[[#This Row],[Type]]="sell",Table_BDD[[#This Row],[S / L]]&gt;Table_BDD[[#This Row],[Lvl Entrée]]),"Non",IF(AND(Table_BDD[[#This Row],[Type]]="buy",Table_BDD[[#This Row],[S / L]]&lt;Table_BDD[[#This Row],[Lvl Entrée]]),"Non",IF(AND(Table_BDD[[#This Row],[Type]]="buy",Table_BDD[[#This Row],[S / L]]&gt;Table_BDD[[#This Row],[Lvl Entrée]],Table_BDD[[#This Row],[Points]]&gt;=-1),"Oui")))))</f>
        <v>Non</v>
      </c>
      <c r="BC69" s="40" t="str">
        <f>IF(Table_BDD[[#This Row],[Position]]="","Sans objet",IF(Table_BDD[[#This Row],[T / P]]="","Non",IF(AND(Table_BDD[[#This Row],[Type]]="sell",Table_BDD[[#This Row],[Lvl Sortie]]&lt;=Table_BDD[[#This Row],[T / P]]),"Oui",IF(AND(Table_BDD[[#This Row],[Type]]="buy",Table_BDD[[#This Row],[Lvl Sortie]]&gt;=Table_BDD[[#This Row],[T / P]]),"Oui","Non"))))</f>
        <v>Non</v>
      </c>
      <c r="BD69" s="91">
        <f t="array" ref="BD69">IFERROR(INDEX(downloadFile[#All],MATCH(Table_BDD[[#This Row],[Date]],downloadFile[[#All],[Column1]],0),2),BD68)</f>
        <v>1.0951</v>
      </c>
      <c r="BE69" s="89">
        <f>IF(Table_BDD[[#This Row],[Position]]="","",IF(Table_BDD[[#This Row],[Symbole]]="UsaInd",(Table_BDD[[#This Row],[Volume]]*Table_BDD[[#This Row],[Lvl Entrée]])/(Table_BDD[[#This Row],[Equité avant trade]]*Table_BDD[[#This Row],[EUR/USD]]),IF(Table_BDD[[#This Row],[Symbole]]="Ger30",(Table_BDD[[#This Row],[Volume]]*Table_BDD[[#This Row],[Lvl Entrée]])/Table_BDD[[#This Row],[Equité avant trade]],)))</f>
        <v>12.810587085405992</v>
      </c>
      <c r="BF69" s="38">
        <f>IF(Table_BDD[[#This Row],[Position]]="","",IF(Table_BDD[[#This Row],[Conformité]]="Non conforme",0,(MROUND(3*((Table_BDD[[#This Row],[Conviction]]+Table_BDD[[#This Row],[Timing]]+Table_BDD[[#This Row],[Sortie]])+1)-2,1))))</f>
        <v>0</v>
      </c>
      <c r="BG69" s="38" t="str">
        <f>IF(Table_BDD[[#This Row],[Position]]="","",IF(Table_BDD[[#This Row],[Points]]&lt;-5,"--",IF(AND(Table_BDD[[#This Row],[Points]]&gt;=-5,Table_BDD[[#This Row],[Points]]&lt;-1.5),"-",IF(AND(Table_BDD[[#This Row],[Points]]&gt;=-1.5,Table_BDD[[#This Row],[Points]]&lt;1.5),"0",IF(AND(Table_BDD[[#This Row],[Points]]&gt;=1.5,Table_BDD[[#This Row],[Points]]&lt;=70),"+",IF(Table_BDD[[#This Row],[Points]]&gt;70,"++"))))))</f>
        <v>--</v>
      </c>
      <c r="BH69" s="37" t="str">
        <f>IF(Table_BDD[[#This Row],[Position]]="","",IF(Table_BDD[[#This Row],[Points]]&gt;0,"Gagnant",IF(Table_BDD[[#This Row],[Points]]=0,"Flat","Perdant")))</f>
        <v>Perdant</v>
      </c>
      <c r="BI69" s="40">
        <f>IF(Table_BDD[[#This Row],[Position]]="","",IF(Table_BDD[[#This Row],[Résultat]]="Gagnant",1,0))</f>
        <v>0</v>
      </c>
      <c r="BJ69" s="40">
        <f>IF(Table_BDD[[#This Row],[Position]]="","",IF(Table_BDD[[#This Row],[Résultat]]="Perdant",1,0))</f>
        <v>1</v>
      </c>
      <c r="BK69" s="40"/>
      <c r="BL69" s="145">
        <f>IF(Table_BDD[[#This Row],[T / P]]="","",Table_BDD[[#This Row],[T / P]])</f>
        <v>29051.02</v>
      </c>
      <c r="BM69" s="147"/>
      <c r="BN69" s="147"/>
      <c r="BO69" s="147"/>
      <c r="BP69" s="147"/>
      <c r="BQ69" s="127"/>
    </row>
    <row r="70" spans="1:69" x14ac:dyDescent="0.2">
      <c r="A70" s="93">
        <v>43871.669490740744</v>
      </c>
      <c r="B70" s="94">
        <v>259693607</v>
      </c>
      <c r="C70" s="37" t="s">
        <v>8</v>
      </c>
      <c r="D70" s="37" t="s">
        <v>10</v>
      </c>
      <c r="E70" s="37">
        <v>0.5</v>
      </c>
      <c r="F70" s="95">
        <v>29155.79</v>
      </c>
      <c r="G70" s="95">
        <v>29165.79</v>
      </c>
      <c r="H70" s="95">
        <v>29055.79</v>
      </c>
      <c r="I70" s="93">
        <v>43871.670254629629</v>
      </c>
      <c r="J70" s="95">
        <v>29165.8</v>
      </c>
      <c r="K70" s="95">
        <v>0</v>
      </c>
      <c r="L70" s="95">
        <v>0</v>
      </c>
      <c r="M70" s="32">
        <v>-4.59</v>
      </c>
      <c r="N70" s="148">
        <f>IF(Table_BDD[[#This Row],[Position]]="","",ROW()-3)</f>
        <v>67</v>
      </c>
      <c r="O70" s="32">
        <f>SUM($L$4:M70)</f>
        <v>30.26000000000003</v>
      </c>
      <c r="P70" s="32">
        <f>Table_BDD[[#This Row],[Equité avant trade]]+Table_BDD[[#This Row],[Profit]]+Table_BDD[[#This Row],[Echange]]</f>
        <v>1030.26</v>
      </c>
      <c r="Q70" s="52">
        <f>INT(Table_BDD[[#This Row],[Horodatage cloture]])</f>
        <v>43871</v>
      </c>
      <c r="R70" s="34">
        <f>WEEKNUM(Table_BDD[[#This Row],[Horodatage cloture]],2)</f>
        <v>7</v>
      </c>
      <c r="S70" s="61">
        <f>WEEKDAY(Table_BDD[[#This Row],[Horodatage cloture]])</f>
        <v>2</v>
      </c>
      <c r="T70" s="63">
        <f>HOUR(Table_BDD[[#This Row],[Horodatage cloture]])</f>
        <v>16</v>
      </c>
      <c r="U70" s="68">
        <f>IF(Table_BDD[[#This Row],[Position]]="","",IF(Table_BDD[[#This Row],[Valeur début de journée unique]]&lt;&gt;0,1,0))</f>
        <v>0</v>
      </c>
      <c r="V70" s="68" t="str">
        <f>IF(Table_BDD[[#This Row],[Nb de séance de trading]]=1,COUNTIF(Table_BDD[Date],Table_BDD[[#This Row],[Date]]),"")</f>
        <v/>
      </c>
      <c r="W70" s="33">
        <f>IF(Table_BDD[[#This Row],[Position]]="","",IF(Table_BDD[[#This Row],[Type]]="buy",ROUND(Table_BDD[[#This Row],[Lvl Entrée]]-Table_BDD[[#This Row],[S / L]],1),ROUND(Table_BDD[[#This Row],[S / L]]-Table_BDD[[#This Row],[Lvl Entrée]],1)))</f>
        <v>10</v>
      </c>
      <c r="X70" s="33">
        <f>IF(Table_BDD[[#This Row],[Position]]="","",IF(Table_BDD[[#This Row],[T / P]]=0,200,IF(Table_BDD[[#This Row],[Type]]="buy",ROUND(Table_BDD[[#This Row],[T / P]]-Table_BDD[[#This Row],[Lvl Entrée]],1),ROUND(Table_BDD[[#This Row],[Lvl Entrée]]-Table_BDD[[#This Row],[T / P]],1))))</f>
        <v>100</v>
      </c>
      <c r="Y70" s="34">
        <f>IF(Table_BDD[[#This Row],[Position]]="","",IF(Table_BDD[[#This Row],[Ecart du SL]]&gt;0,ROUND(ABS(Table_BDD[[#This Row],[Ecart du TP]])/ABS(Table_BDD[[#This Row],[Ecart du SL]]),1),ROUND(ABS(Table_BDD[[#This Row],[Ecart du TP]])/10,1)))</f>
        <v>10</v>
      </c>
      <c r="Z70" s="34">
        <f>IF(Table_BDD[[#This Row],[Position]]="","",IF(Table_BDD[[#This Row],[Ecart du SL]]&lt;0,IF(AND(Table_BDD[[#This Row],[Profit]]&gt;0,Table_BDD[[#This Row],[Type]]="sell"),ROUND((Table_BDD[[#This Row],[Lvl Entrée]]-Table_BDD[[#This Row],[Lvl Sortie]])/(10),1),IF(AND(Table_BDD[[#This Row],[Profit]]&gt;0,Table_BDD[[#This Row],[Type]]="buy"),ROUND((Table_BDD[[#This Row],[Lvl Sortie]]-Table_BDD[[#This Row],[Lvl Entrée]])/(10),1),)),IF(AND(Table_BDD[[#This Row],[Profit]]&gt;0,Table_BDD[[#This Row],[Type]]="sell"),ROUND((Table_BDD[[#This Row],[Lvl Entrée]]-Table_BDD[[#This Row],[Lvl Sortie]])/(Table_BDD[[#This Row],[S / L]]-Table_BDD[[#This Row],[Lvl Entrée]]),1),IF(AND(Table_BDD[[#This Row],[Profit]]&gt;0,Table_BDD[[#This Row],[Type]]="buy"),ROUND((Table_BDD[[#This Row],[Lvl Sortie]]-Table_BDD[[#This Row],[Lvl Entrée]])/(Table_BDD[[#This Row],[Lvl Entrée]]-Table_BDD[[#This Row],[S / L]]),1),ROUND(Table_BDD[[#This Row],[Points]]/10,1)))))</f>
        <v>-1</v>
      </c>
      <c r="AA70" s="32">
        <f>IF(Table_BDD[[#This Row],[Position]]="",AA69,Table_BDD[[#This Row],[Equité après trade]]-Table_BDD[[#This Row],[Profit]]-Table_BDD[[#This Row],[Echange]])</f>
        <v>1034.8499999999999</v>
      </c>
      <c r="AB70" s="149">
        <f>$B$1+SUM($L$4:M70)</f>
        <v>1030.26</v>
      </c>
      <c r="AC70" s="150">
        <f>IF(Table_BDD[[#This Row],[Position]]="","",_xlfn.MINIFS(Table_BDD[Horodatage ouverture],Table_BDD[Date],Table_BDD[Date]))</f>
        <v>43871.627708333333</v>
      </c>
      <c r="AD70" s="149">
        <f>VLOOKUP(_xlfn.MINIFS(Table_BDD[Horodatage ouverture],Table_BDD[Date],Table_BDD[Date]),Table_BDD[[Horodatage ouverture]:[Heure derniere valeur]],AA$2)</f>
        <v>1047.8899999999999</v>
      </c>
      <c r="AE70" s="149">
        <f>IF(VLOOKUP(_xlfn.MINIFS(Table_BDD[Horodatage ouverture],Table_BDD[Date],Table_BDD[Date]),Table_BDD[[Horodatage ouverture]:[Heure derniere valeur]],AA$2)=Table_BDD[[#This Row],[Equité avant trade]],VLOOKUP(_xlfn.MINIFS(Table_BDD[Horodatage ouverture],Table_BDD[Date],Table_BDD[Date]),Table_BDD[[Horodatage ouverture]:[Heure derniere valeur]],AA$2),0)</f>
        <v>0</v>
      </c>
      <c r="AF70" s="150">
        <f>IF(Table_BDD[[#This Row],[Position]]="","",_xlfn.MAXIFS(Table_BDD[Horodatage ouverture],Table_BDD[Date],Table_BDD[Date]))</f>
        <v>43871.914259259262</v>
      </c>
      <c r="AG70" s="32">
        <f>VLOOKUP(_xlfn.MAXIFS(Table_BDD[Horodatage cloture],Table_BDD[Date],Table_BDD[Date]),Table_BDD[[Horodatage ouverture]:[Heure derniere valeur]],AB$2)</f>
        <v>984.33</v>
      </c>
      <c r="AH70" s="32">
        <f>IF(VLOOKUP(_xlfn.MAXIFS(Table_BDD[Horodatage cloture],Table_BDD[Date],Table_BDD[Date]),Table_BDD[[Horodatage ouverture]:[Heure derniere valeur]],AB$2)=Table_BDD[[#This Row],[Equité après trade]],VLOOKUP(_xlfn.MAXIFS(Table_BDD[Horodatage cloture],Table_BDD[Date],Table_BDD[Date]),Table_BDD[[Horodatage ouverture]:[Heure derniere valeur]],AB$2),0)</f>
        <v>0</v>
      </c>
      <c r="AI70" s="32" t="e">
        <f>IF(Table_BDD[[#This Row],[Valeur fin de journée unique]]=0,#N/A,Table_BDD[[#This Row],[Valeur fin de journée unique]])</f>
        <v>#N/A</v>
      </c>
      <c r="AJ70" s="35">
        <f>IF(Table_BDD[[#This Row],[Position]]="","",(Table_BDD[[#This Row],[Equité après trade]]-Table_BDD[[#This Row],[Equité avant trade]])/Table_BDD[[#This Row],[Equité avant trade]])</f>
        <v>-4.4354254239744101E-3</v>
      </c>
      <c r="AK70" s="35" t="str">
        <f>IFERROR(((INDEX(Table_BDD[[Trade n°]:[Valeur fin de journée unique]],Table_BDD[[#This Row],[Nb de trade du jour]]+Table_BDD[[#This Row],[Trade n°]]-1,21))-Table_BDD[[#This Row],[Valeur début de journée unique]])/Table_BDD[[#This Row],[Valeur début de journée unique]],"")</f>
        <v/>
      </c>
      <c r="AL70" s="32">
        <f>IF(Table_BDD[[#This Row],[Position]]="","",MAX(Table_BDD[[#This Row],[Cumul équité]],AL69))</f>
        <v>1052.8399999999999</v>
      </c>
      <c r="AM70" s="32">
        <f>IF(Table_BDD[[#This Row],[Position]]="","",MIN(Table_BDD[[#This Row],[Cumul équité]],AL69))</f>
        <v>1030.26</v>
      </c>
      <c r="AN70" s="97">
        <f>IF(Table_BDD[[#This Row],[Sommet Drawdown]]&gt;AL69,"",Table_BDD[[#This Row],[Creux Drawdown]]/Table_BDD[[#This Row],[Sommet Drawdown]]-1)</f>
        <v>-2.1446753542798458E-2</v>
      </c>
      <c r="AO70" s="36">
        <f>IF(Table_BDD[[#This Row],[Position]]="","",IF(Table_BDD[[#This Row],[Type]]="buy",ROUND(Table_BDD[[#This Row],[Lvl Sortie]]-Table_BDD[[#This Row],[Lvl Entrée]],1),ROUND(Table_BDD[[#This Row],[Lvl Entrée]]-Table_BDD[[#This Row],[Lvl Sortie]],1)))</f>
        <v>-10</v>
      </c>
      <c r="AP70" s="36" t="str">
        <f>IF(Table_BDD[[#This Row],[Points]]&gt;0,Table_BDD[[#This Row],[Points]],"")</f>
        <v/>
      </c>
      <c r="AQ70" s="36">
        <f>IF(Table_BDD[[#This Row],[Points]]&lt;0,Table_BDD[[#This Row],[Points]],"")</f>
        <v>-10</v>
      </c>
      <c r="AR70" s="36">
        <f>SUM($AO$4:AO70)</f>
        <v>66.300000000000011</v>
      </c>
      <c r="AS70" s="68">
        <f>IF(Table_BDD[[#This Row],[Position]]="","",IF(Table_BDD[[#This Row],[Conformité]]="Conforme",1,0))</f>
        <v>0</v>
      </c>
      <c r="AT70" s="68">
        <f>IF(Table_BDD[[#This Row],[Position]]="","",IF(Table_BDD[[#This Row],[Conformité]]="Non conforme",1,0))</f>
        <v>1</v>
      </c>
      <c r="AU70" s="37" t="s">
        <v>17</v>
      </c>
      <c r="AV70" s="37"/>
      <c r="AW70" s="37"/>
      <c r="AX70" s="37">
        <v>0</v>
      </c>
      <c r="AY70" s="37">
        <v>0</v>
      </c>
      <c r="AZ70" s="37">
        <v>0</v>
      </c>
      <c r="BA70" s="40" t="str">
        <f>IF(Table_BDD[[#This Row],[Position]]="","Sans objet",IF(AND(Table_BDD[[#This Row],[Type]]="sell",Table_BDD[[#This Row],[S / L]]&lt;Table_BDD[[#This Row],[Lvl Entrée]],Table_BDD[[#This Row],[Lvl Sortie]]&lt;=Table_BDD[[#This Row],[S / L]]+2,Table_BDD[[#This Row],[Lvl Sortie]]&lt;Table_BDD[[#This Row],[Lvl Entrée]]-19),"Oui",IF(AND(Table_BDD[[#This Row],[Type]]="buy",Table_BDD[[#This Row],[S / L]]&gt;Table_BDD[[#This Row],[Lvl Entrée]],Table_BDD[[#This Row],[Lvl Sortie]]&gt;=Table_BDD[[#This Row],[S / L]]-2,Table_BDD[[#This Row],[S / L]]&gt;Table_BDD[[#This Row],[Lvl Entrée]]+19),"Oui","Non")))</f>
        <v>Non</v>
      </c>
      <c r="BB70" s="40" t="str">
        <f>IF(Table_BDD[[#This Row],[Position]]="","Sans objet",IF(AND(Table_BDD[[#This Row],[Type]]="sell",Table_BDD[[#This Row],[S / L]]&lt;Table_BDD[[#This Row],[Lvl Entrée]],Table_BDD[[#This Row],[Points]]&gt;=-1),"Oui",IF(AND(Table_BDD[[#This Row],[Type]]="sell",Table_BDD[[#This Row],[S / L]]&gt;Table_BDD[[#This Row],[Lvl Entrée]]),"Non",IF(AND(Table_BDD[[#This Row],[Type]]="buy",Table_BDD[[#This Row],[S / L]]&lt;Table_BDD[[#This Row],[Lvl Entrée]]),"Non",IF(AND(Table_BDD[[#This Row],[Type]]="buy",Table_BDD[[#This Row],[S / L]]&gt;Table_BDD[[#This Row],[Lvl Entrée]],Table_BDD[[#This Row],[Points]]&gt;=-1),"Oui")))))</f>
        <v>Non</v>
      </c>
      <c r="BC70" s="40" t="str">
        <f>IF(Table_BDD[[#This Row],[Position]]="","Sans objet",IF(Table_BDD[[#This Row],[T / P]]="","Non",IF(AND(Table_BDD[[#This Row],[Type]]="sell",Table_BDD[[#This Row],[Lvl Sortie]]&lt;=Table_BDD[[#This Row],[T / P]]),"Oui",IF(AND(Table_BDD[[#This Row],[Type]]="buy",Table_BDD[[#This Row],[Lvl Sortie]]&gt;=Table_BDD[[#This Row],[T / P]]),"Oui","Non"))))</f>
        <v>Non</v>
      </c>
      <c r="BD70" s="91">
        <f t="array" ref="BD70">IFERROR(INDEX(downloadFile[#All],MATCH(Table_BDD[[#This Row],[Date]],downloadFile[[#All],[Column1]],0),2),BD69)</f>
        <v>1.0951</v>
      </c>
      <c r="BE70" s="89">
        <f>IF(Table_BDD[[#This Row],[Position]]="","",IF(Table_BDD[[#This Row],[Symbole]]="UsaInd",(Table_BDD[[#This Row],[Volume]]*Table_BDD[[#This Row],[Lvl Entrée]])/(Table_BDD[[#This Row],[Equité avant trade]]*Table_BDD[[#This Row],[EUR/USD]]),IF(Table_BDD[[#This Row],[Symbole]]="Ger30",(Table_BDD[[#This Row],[Volume]]*Table_BDD[[#This Row],[Lvl Entrée]])/Table_BDD[[#This Row],[Equité avant trade]],)))</f>
        <v>12.863632813754156</v>
      </c>
      <c r="BF70" s="38">
        <f>IF(Table_BDD[[#This Row],[Position]]="","",IF(Table_BDD[[#This Row],[Conformité]]="Non conforme",0,(MROUND(3*((Table_BDD[[#This Row],[Conviction]]+Table_BDD[[#This Row],[Timing]]+Table_BDD[[#This Row],[Sortie]])+1)-2,1))))</f>
        <v>0</v>
      </c>
      <c r="BG70" s="38" t="str">
        <f>IF(Table_BDD[[#This Row],[Position]]="","",IF(Table_BDD[[#This Row],[Points]]&lt;-5,"--",IF(AND(Table_BDD[[#This Row],[Points]]&gt;=-5,Table_BDD[[#This Row],[Points]]&lt;-1.5),"-",IF(AND(Table_BDD[[#This Row],[Points]]&gt;=-1.5,Table_BDD[[#This Row],[Points]]&lt;1.5),"0",IF(AND(Table_BDD[[#This Row],[Points]]&gt;=1.5,Table_BDD[[#This Row],[Points]]&lt;=70),"+",IF(Table_BDD[[#This Row],[Points]]&gt;70,"++"))))))</f>
        <v>--</v>
      </c>
      <c r="BH70" s="37" t="str">
        <f>IF(Table_BDD[[#This Row],[Position]]="","",IF(Table_BDD[[#This Row],[Points]]&gt;0,"Gagnant",IF(Table_BDD[[#This Row],[Points]]=0,"Flat","Perdant")))</f>
        <v>Perdant</v>
      </c>
      <c r="BI70" s="40">
        <f>IF(Table_BDD[[#This Row],[Position]]="","",IF(Table_BDD[[#This Row],[Résultat]]="Gagnant",1,0))</f>
        <v>0</v>
      </c>
      <c r="BJ70" s="40">
        <f>IF(Table_BDD[[#This Row],[Position]]="","",IF(Table_BDD[[#This Row],[Résultat]]="Perdant",1,0))</f>
        <v>1</v>
      </c>
      <c r="BK70" s="40"/>
      <c r="BL70" s="145">
        <f>IF(Table_BDD[[#This Row],[T / P]]="","",Table_BDD[[#This Row],[T / P]])</f>
        <v>29055.79</v>
      </c>
      <c r="BM70" s="147"/>
      <c r="BN70" s="147"/>
      <c r="BO70" s="147"/>
      <c r="BP70" s="147"/>
      <c r="BQ70" s="127"/>
    </row>
    <row r="71" spans="1:69" x14ac:dyDescent="0.2">
      <c r="A71" s="93">
        <v>43871.670289351852</v>
      </c>
      <c r="B71" s="94">
        <v>259692989</v>
      </c>
      <c r="C71" s="37" t="s">
        <v>8</v>
      </c>
      <c r="D71" s="37" t="s">
        <v>10</v>
      </c>
      <c r="E71" s="37">
        <v>0.5</v>
      </c>
      <c r="F71" s="95">
        <v>29166.959999999999</v>
      </c>
      <c r="G71" s="95">
        <v>29176.959999999999</v>
      </c>
      <c r="H71" s="95">
        <v>29066.959999999999</v>
      </c>
      <c r="I71" s="93">
        <v>43871.673263888886</v>
      </c>
      <c r="J71" s="95">
        <v>29176.97</v>
      </c>
      <c r="K71" s="95">
        <v>0</v>
      </c>
      <c r="L71" s="95">
        <v>0</v>
      </c>
      <c r="M71" s="32">
        <v>-4.58</v>
      </c>
      <c r="N71" s="148">
        <f>IF(Table_BDD[[#This Row],[Position]]="","",ROW()-3)</f>
        <v>68</v>
      </c>
      <c r="O71" s="32">
        <f>SUM($L$4:M71)</f>
        <v>25.680000000000028</v>
      </c>
      <c r="P71" s="32">
        <f>Table_BDD[[#This Row],[Equité avant trade]]+Table_BDD[[#This Row],[Profit]]+Table_BDD[[#This Row],[Echange]]</f>
        <v>1025.68</v>
      </c>
      <c r="Q71" s="52">
        <f>INT(Table_BDD[[#This Row],[Horodatage cloture]])</f>
        <v>43871</v>
      </c>
      <c r="R71" s="34">
        <f>WEEKNUM(Table_BDD[[#This Row],[Horodatage cloture]],2)</f>
        <v>7</v>
      </c>
      <c r="S71" s="61">
        <f>WEEKDAY(Table_BDD[[#This Row],[Horodatage cloture]])</f>
        <v>2</v>
      </c>
      <c r="T71" s="63">
        <f>HOUR(Table_BDD[[#This Row],[Horodatage cloture]])</f>
        <v>16</v>
      </c>
      <c r="U71" s="68">
        <f>IF(Table_BDD[[#This Row],[Position]]="","",IF(Table_BDD[[#This Row],[Valeur début de journée unique]]&lt;&gt;0,1,0))</f>
        <v>0</v>
      </c>
      <c r="V71" s="68" t="str">
        <f>IF(Table_BDD[[#This Row],[Nb de séance de trading]]=1,COUNTIF(Table_BDD[Date],Table_BDD[[#This Row],[Date]]),"")</f>
        <v/>
      </c>
      <c r="W71" s="33">
        <f>IF(Table_BDD[[#This Row],[Position]]="","",IF(Table_BDD[[#This Row],[Type]]="buy",ROUND(Table_BDD[[#This Row],[Lvl Entrée]]-Table_BDD[[#This Row],[S / L]],1),ROUND(Table_BDD[[#This Row],[S / L]]-Table_BDD[[#This Row],[Lvl Entrée]],1)))</f>
        <v>10</v>
      </c>
      <c r="X71" s="33">
        <f>IF(Table_BDD[[#This Row],[Position]]="","",IF(Table_BDD[[#This Row],[T / P]]=0,200,IF(Table_BDD[[#This Row],[Type]]="buy",ROUND(Table_BDD[[#This Row],[T / P]]-Table_BDD[[#This Row],[Lvl Entrée]],1),ROUND(Table_BDD[[#This Row],[Lvl Entrée]]-Table_BDD[[#This Row],[T / P]],1))))</f>
        <v>100</v>
      </c>
      <c r="Y71" s="34">
        <f>IF(Table_BDD[[#This Row],[Position]]="","",IF(Table_BDD[[#This Row],[Ecart du SL]]&gt;0,ROUND(ABS(Table_BDD[[#This Row],[Ecart du TP]])/ABS(Table_BDD[[#This Row],[Ecart du SL]]),1),ROUND(ABS(Table_BDD[[#This Row],[Ecart du TP]])/10,1)))</f>
        <v>10</v>
      </c>
      <c r="Z71" s="34">
        <f>IF(Table_BDD[[#This Row],[Position]]="","",IF(Table_BDD[[#This Row],[Ecart du SL]]&lt;0,IF(AND(Table_BDD[[#This Row],[Profit]]&gt;0,Table_BDD[[#This Row],[Type]]="sell"),ROUND((Table_BDD[[#This Row],[Lvl Entrée]]-Table_BDD[[#This Row],[Lvl Sortie]])/(10),1),IF(AND(Table_BDD[[#This Row],[Profit]]&gt;0,Table_BDD[[#This Row],[Type]]="buy"),ROUND((Table_BDD[[#This Row],[Lvl Sortie]]-Table_BDD[[#This Row],[Lvl Entrée]])/(10),1),)),IF(AND(Table_BDD[[#This Row],[Profit]]&gt;0,Table_BDD[[#This Row],[Type]]="sell"),ROUND((Table_BDD[[#This Row],[Lvl Entrée]]-Table_BDD[[#This Row],[Lvl Sortie]])/(Table_BDD[[#This Row],[S / L]]-Table_BDD[[#This Row],[Lvl Entrée]]),1),IF(AND(Table_BDD[[#This Row],[Profit]]&gt;0,Table_BDD[[#This Row],[Type]]="buy"),ROUND((Table_BDD[[#This Row],[Lvl Sortie]]-Table_BDD[[#This Row],[Lvl Entrée]])/(Table_BDD[[#This Row],[Lvl Entrée]]-Table_BDD[[#This Row],[S / L]]),1),ROUND(Table_BDD[[#This Row],[Points]]/10,1)))))</f>
        <v>-1</v>
      </c>
      <c r="AA71" s="32">
        <f>IF(Table_BDD[[#This Row],[Position]]="",AA70,Table_BDD[[#This Row],[Equité après trade]]-Table_BDD[[#This Row],[Profit]]-Table_BDD[[#This Row],[Echange]])</f>
        <v>1030.26</v>
      </c>
      <c r="AB71" s="149">
        <f>$B$1+SUM($L$4:M71)</f>
        <v>1025.68</v>
      </c>
      <c r="AC71" s="150">
        <f>IF(Table_BDD[[#This Row],[Position]]="","",_xlfn.MINIFS(Table_BDD[Horodatage ouverture],Table_BDD[Date],Table_BDD[Date]))</f>
        <v>43871.627708333333</v>
      </c>
      <c r="AD71" s="149">
        <f>VLOOKUP(_xlfn.MINIFS(Table_BDD[Horodatage ouverture],Table_BDD[Date],Table_BDD[Date]),Table_BDD[[Horodatage ouverture]:[Heure derniere valeur]],AA$2)</f>
        <v>1047.8899999999999</v>
      </c>
      <c r="AE71" s="149">
        <f>IF(VLOOKUP(_xlfn.MINIFS(Table_BDD[Horodatage ouverture],Table_BDD[Date],Table_BDD[Date]),Table_BDD[[Horodatage ouverture]:[Heure derniere valeur]],AA$2)=Table_BDD[[#This Row],[Equité avant trade]],VLOOKUP(_xlfn.MINIFS(Table_BDD[Horodatage ouverture],Table_BDD[Date],Table_BDD[Date]),Table_BDD[[Horodatage ouverture]:[Heure derniere valeur]],AA$2),0)</f>
        <v>0</v>
      </c>
      <c r="AF71" s="150">
        <f>IF(Table_BDD[[#This Row],[Position]]="","",_xlfn.MAXIFS(Table_BDD[Horodatage ouverture],Table_BDD[Date],Table_BDD[Date]))</f>
        <v>43871.914259259262</v>
      </c>
      <c r="AG71" s="32">
        <f>VLOOKUP(_xlfn.MAXIFS(Table_BDD[Horodatage cloture],Table_BDD[Date],Table_BDD[Date]),Table_BDD[[Horodatage ouverture]:[Heure derniere valeur]],AB$2)</f>
        <v>984.33</v>
      </c>
      <c r="AH71" s="32">
        <f>IF(VLOOKUP(_xlfn.MAXIFS(Table_BDD[Horodatage cloture],Table_BDD[Date],Table_BDD[Date]),Table_BDD[[Horodatage ouverture]:[Heure derniere valeur]],AB$2)=Table_BDD[[#This Row],[Equité après trade]],VLOOKUP(_xlfn.MAXIFS(Table_BDD[Horodatage cloture],Table_BDD[Date],Table_BDD[Date]),Table_BDD[[Horodatage ouverture]:[Heure derniere valeur]],AB$2),0)</f>
        <v>0</v>
      </c>
      <c r="AI71" s="32" t="e">
        <f>IF(Table_BDD[[#This Row],[Valeur fin de journée unique]]=0,#N/A,Table_BDD[[#This Row],[Valeur fin de journée unique]])</f>
        <v>#N/A</v>
      </c>
      <c r="AJ71" s="35">
        <f>IF(Table_BDD[[#This Row],[Position]]="","",(Table_BDD[[#This Row],[Equité après trade]]-Table_BDD[[#This Row],[Equité avant trade]])/Table_BDD[[#This Row],[Equité avant trade]])</f>
        <v>-4.4454797818025815E-3</v>
      </c>
      <c r="AK71" s="35" t="str">
        <f>IFERROR(((INDEX(Table_BDD[[Trade n°]:[Valeur fin de journée unique]],Table_BDD[[#This Row],[Nb de trade du jour]]+Table_BDD[[#This Row],[Trade n°]]-1,21))-Table_BDD[[#This Row],[Valeur début de journée unique]])/Table_BDD[[#This Row],[Valeur début de journée unique]],"")</f>
        <v/>
      </c>
      <c r="AL71" s="32">
        <f>IF(Table_BDD[[#This Row],[Position]]="","",MAX(Table_BDD[[#This Row],[Cumul équité]],AL70))</f>
        <v>1052.8399999999999</v>
      </c>
      <c r="AM71" s="32">
        <f>IF(Table_BDD[[#This Row],[Position]]="","",MIN(Table_BDD[[#This Row],[Cumul équité]],AL70))</f>
        <v>1025.68</v>
      </c>
      <c r="AN71" s="97">
        <f>IF(Table_BDD[[#This Row],[Sommet Drawdown]]&gt;AL70,"",Table_BDD[[#This Row],[Creux Drawdown]]/Table_BDD[[#This Row],[Sommet Drawdown]]-1)</f>
        <v>-2.5796892215341205E-2</v>
      </c>
      <c r="AO71" s="36">
        <f>IF(Table_BDD[[#This Row],[Position]]="","",IF(Table_BDD[[#This Row],[Type]]="buy",ROUND(Table_BDD[[#This Row],[Lvl Sortie]]-Table_BDD[[#This Row],[Lvl Entrée]],1),ROUND(Table_BDD[[#This Row],[Lvl Entrée]]-Table_BDD[[#This Row],[Lvl Sortie]],1)))</f>
        <v>-10</v>
      </c>
      <c r="AP71" s="36" t="str">
        <f>IF(Table_BDD[[#This Row],[Points]]&gt;0,Table_BDD[[#This Row],[Points]],"")</f>
        <v/>
      </c>
      <c r="AQ71" s="36">
        <f>IF(Table_BDD[[#This Row],[Points]]&lt;0,Table_BDD[[#This Row],[Points]],"")</f>
        <v>-10</v>
      </c>
      <c r="AR71" s="36">
        <f>SUM($AO$4:AO71)</f>
        <v>56.300000000000011</v>
      </c>
      <c r="AS71" s="68">
        <f>IF(Table_BDD[[#This Row],[Position]]="","",IF(Table_BDD[[#This Row],[Conformité]]="Conforme",1,0))</f>
        <v>0</v>
      </c>
      <c r="AT71" s="68">
        <f>IF(Table_BDD[[#This Row],[Position]]="","",IF(Table_BDD[[#This Row],[Conformité]]="Non conforme",1,0))</f>
        <v>1</v>
      </c>
      <c r="AU71" s="37" t="s">
        <v>17</v>
      </c>
      <c r="AV71" s="37"/>
      <c r="AW71" s="37"/>
      <c r="AX71" s="37">
        <v>0</v>
      </c>
      <c r="AY71" s="37">
        <v>0</v>
      </c>
      <c r="AZ71" s="37">
        <v>0</v>
      </c>
      <c r="BA71" s="40" t="str">
        <f>IF(Table_BDD[[#This Row],[Position]]="","Sans objet",IF(AND(Table_BDD[[#This Row],[Type]]="sell",Table_BDD[[#This Row],[S / L]]&lt;Table_BDD[[#This Row],[Lvl Entrée]],Table_BDD[[#This Row],[Lvl Sortie]]&lt;=Table_BDD[[#This Row],[S / L]]+2,Table_BDD[[#This Row],[Lvl Sortie]]&lt;Table_BDD[[#This Row],[Lvl Entrée]]-19),"Oui",IF(AND(Table_BDD[[#This Row],[Type]]="buy",Table_BDD[[#This Row],[S / L]]&gt;Table_BDD[[#This Row],[Lvl Entrée]],Table_BDD[[#This Row],[Lvl Sortie]]&gt;=Table_BDD[[#This Row],[S / L]]-2,Table_BDD[[#This Row],[S / L]]&gt;Table_BDD[[#This Row],[Lvl Entrée]]+19),"Oui","Non")))</f>
        <v>Non</v>
      </c>
      <c r="BB71" s="40" t="str">
        <f>IF(Table_BDD[[#This Row],[Position]]="","Sans objet",IF(AND(Table_BDD[[#This Row],[Type]]="sell",Table_BDD[[#This Row],[S / L]]&lt;Table_BDD[[#This Row],[Lvl Entrée]],Table_BDD[[#This Row],[Points]]&gt;=-1),"Oui",IF(AND(Table_BDD[[#This Row],[Type]]="sell",Table_BDD[[#This Row],[S / L]]&gt;Table_BDD[[#This Row],[Lvl Entrée]]),"Non",IF(AND(Table_BDD[[#This Row],[Type]]="buy",Table_BDD[[#This Row],[S / L]]&lt;Table_BDD[[#This Row],[Lvl Entrée]]),"Non",IF(AND(Table_BDD[[#This Row],[Type]]="buy",Table_BDD[[#This Row],[S / L]]&gt;Table_BDD[[#This Row],[Lvl Entrée]],Table_BDD[[#This Row],[Points]]&gt;=-1),"Oui")))))</f>
        <v>Non</v>
      </c>
      <c r="BC71" s="40" t="str">
        <f>IF(Table_BDD[[#This Row],[Position]]="","Sans objet",IF(Table_BDD[[#This Row],[T / P]]="","Non",IF(AND(Table_BDD[[#This Row],[Type]]="sell",Table_BDD[[#This Row],[Lvl Sortie]]&lt;=Table_BDD[[#This Row],[T / P]]),"Oui",IF(AND(Table_BDD[[#This Row],[Type]]="buy",Table_BDD[[#This Row],[Lvl Sortie]]&gt;=Table_BDD[[#This Row],[T / P]]),"Oui","Non"))))</f>
        <v>Non</v>
      </c>
      <c r="BD71" s="91">
        <f t="array" ref="BD71">IFERROR(INDEX(downloadFile[#All],MATCH(Table_BDD[[#This Row],[Date]],downloadFile[[#All],[Column1]],0),2),BD70)</f>
        <v>1.0951</v>
      </c>
      <c r="BE71" s="89">
        <f>IF(Table_BDD[[#This Row],[Position]]="","",IF(Table_BDD[[#This Row],[Symbole]]="UsaInd",(Table_BDD[[#This Row],[Volume]]*Table_BDD[[#This Row],[Lvl Entrée]])/(Table_BDD[[#This Row],[Equité avant trade]]*Table_BDD[[#This Row],[EUR/USD]]),IF(Table_BDD[[#This Row],[Symbole]]="Ger30",(Table_BDD[[#This Row],[Volume]]*Table_BDD[[#This Row],[Lvl Entrée]])/Table_BDD[[#This Row],[Equité avant trade]],)))</f>
        <v>12.925892889350166</v>
      </c>
      <c r="BF71" s="38">
        <f>IF(Table_BDD[[#This Row],[Position]]="","",IF(Table_BDD[[#This Row],[Conformité]]="Non conforme",0,(MROUND(3*((Table_BDD[[#This Row],[Conviction]]+Table_BDD[[#This Row],[Timing]]+Table_BDD[[#This Row],[Sortie]])+1)-2,1))))</f>
        <v>0</v>
      </c>
      <c r="BG71" s="38" t="str">
        <f>IF(Table_BDD[[#This Row],[Position]]="","",IF(Table_BDD[[#This Row],[Points]]&lt;-5,"--",IF(AND(Table_BDD[[#This Row],[Points]]&gt;=-5,Table_BDD[[#This Row],[Points]]&lt;-1.5),"-",IF(AND(Table_BDD[[#This Row],[Points]]&gt;=-1.5,Table_BDD[[#This Row],[Points]]&lt;1.5),"0",IF(AND(Table_BDD[[#This Row],[Points]]&gt;=1.5,Table_BDD[[#This Row],[Points]]&lt;=70),"+",IF(Table_BDD[[#This Row],[Points]]&gt;70,"++"))))))</f>
        <v>--</v>
      </c>
      <c r="BH71" s="37" t="str">
        <f>IF(Table_BDD[[#This Row],[Position]]="","",IF(Table_BDD[[#This Row],[Points]]&gt;0,"Gagnant",IF(Table_BDD[[#This Row],[Points]]=0,"Flat","Perdant")))</f>
        <v>Perdant</v>
      </c>
      <c r="BI71" s="40">
        <f>IF(Table_BDD[[#This Row],[Position]]="","",IF(Table_BDD[[#This Row],[Résultat]]="Gagnant",1,0))</f>
        <v>0</v>
      </c>
      <c r="BJ71" s="40">
        <f>IF(Table_BDD[[#This Row],[Position]]="","",IF(Table_BDD[[#This Row],[Résultat]]="Perdant",1,0))</f>
        <v>1</v>
      </c>
      <c r="BK71" s="40"/>
      <c r="BL71" s="145">
        <f>IF(Table_BDD[[#This Row],[T / P]]="","",Table_BDD[[#This Row],[T / P]])</f>
        <v>29066.959999999999</v>
      </c>
      <c r="BM71" s="147"/>
      <c r="BN71" s="147"/>
      <c r="BO71" s="147"/>
      <c r="BP71" s="147"/>
      <c r="BQ71" s="127"/>
    </row>
    <row r="72" spans="1:69" x14ac:dyDescent="0.2">
      <c r="A72" s="93">
        <v>43871.673344907409</v>
      </c>
      <c r="B72" s="94">
        <v>259694194</v>
      </c>
      <c r="C72" s="37" t="s">
        <v>8</v>
      </c>
      <c r="D72" s="37" t="s">
        <v>10</v>
      </c>
      <c r="E72" s="37">
        <v>0.5</v>
      </c>
      <c r="F72" s="95">
        <v>29172.93</v>
      </c>
      <c r="G72" s="95">
        <v>29182.93</v>
      </c>
      <c r="H72" s="95">
        <v>29022.93</v>
      </c>
      <c r="I72" s="93">
        <v>43871.675266203703</v>
      </c>
      <c r="J72" s="95">
        <v>29183.09</v>
      </c>
      <c r="K72" s="95">
        <v>0</v>
      </c>
      <c r="L72" s="95">
        <v>0</v>
      </c>
      <c r="M72" s="32">
        <v>-4.6500000000000004</v>
      </c>
      <c r="N72" s="148">
        <f>IF(Table_BDD[[#This Row],[Position]]="","",ROW()-3)</f>
        <v>69</v>
      </c>
      <c r="O72" s="32">
        <f>SUM($L$4:M72)</f>
        <v>21.03000000000003</v>
      </c>
      <c r="P72" s="32">
        <f>Table_BDD[[#This Row],[Equité avant trade]]+Table_BDD[[#This Row],[Profit]]+Table_BDD[[#This Row],[Echange]]</f>
        <v>1021.0300000000001</v>
      </c>
      <c r="Q72" s="52">
        <f>INT(Table_BDD[[#This Row],[Horodatage cloture]])</f>
        <v>43871</v>
      </c>
      <c r="R72" s="34">
        <f>WEEKNUM(Table_BDD[[#This Row],[Horodatage cloture]],2)</f>
        <v>7</v>
      </c>
      <c r="S72" s="61">
        <f>WEEKDAY(Table_BDD[[#This Row],[Horodatage cloture]])</f>
        <v>2</v>
      </c>
      <c r="T72" s="63">
        <f>HOUR(Table_BDD[[#This Row],[Horodatage cloture]])</f>
        <v>16</v>
      </c>
      <c r="U72" s="68">
        <f>IF(Table_BDD[[#This Row],[Position]]="","",IF(Table_BDD[[#This Row],[Valeur début de journée unique]]&lt;&gt;0,1,0))</f>
        <v>0</v>
      </c>
      <c r="V72" s="68" t="str">
        <f>IF(Table_BDD[[#This Row],[Nb de séance de trading]]=1,COUNTIF(Table_BDD[Date],Table_BDD[[#This Row],[Date]]),"")</f>
        <v/>
      </c>
      <c r="W72" s="33">
        <f>IF(Table_BDD[[#This Row],[Position]]="","",IF(Table_BDD[[#This Row],[Type]]="buy",ROUND(Table_BDD[[#This Row],[Lvl Entrée]]-Table_BDD[[#This Row],[S / L]],1),ROUND(Table_BDD[[#This Row],[S / L]]-Table_BDD[[#This Row],[Lvl Entrée]],1)))</f>
        <v>10</v>
      </c>
      <c r="X72" s="33">
        <f>IF(Table_BDD[[#This Row],[Position]]="","",IF(Table_BDD[[#This Row],[T / P]]=0,200,IF(Table_BDD[[#This Row],[Type]]="buy",ROUND(Table_BDD[[#This Row],[T / P]]-Table_BDD[[#This Row],[Lvl Entrée]],1),ROUND(Table_BDD[[#This Row],[Lvl Entrée]]-Table_BDD[[#This Row],[T / P]],1))))</f>
        <v>150</v>
      </c>
      <c r="Y72" s="34">
        <f>IF(Table_BDD[[#This Row],[Position]]="","",IF(Table_BDD[[#This Row],[Ecart du SL]]&gt;0,ROUND(ABS(Table_BDD[[#This Row],[Ecart du TP]])/ABS(Table_BDD[[#This Row],[Ecart du SL]]),1),ROUND(ABS(Table_BDD[[#This Row],[Ecart du TP]])/10,1)))</f>
        <v>15</v>
      </c>
      <c r="Z72" s="34">
        <f>IF(Table_BDD[[#This Row],[Position]]="","",IF(Table_BDD[[#This Row],[Ecart du SL]]&lt;0,IF(AND(Table_BDD[[#This Row],[Profit]]&gt;0,Table_BDD[[#This Row],[Type]]="sell"),ROUND((Table_BDD[[#This Row],[Lvl Entrée]]-Table_BDD[[#This Row],[Lvl Sortie]])/(10),1),IF(AND(Table_BDD[[#This Row],[Profit]]&gt;0,Table_BDD[[#This Row],[Type]]="buy"),ROUND((Table_BDD[[#This Row],[Lvl Sortie]]-Table_BDD[[#This Row],[Lvl Entrée]])/(10),1),)),IF(AND(Table_BDD[[#This Row],[Profit]]&gt;0,Table_BDD[[#This Row],[Type]]="sell"),ROUND((Table_BDD[[#This Row],[Lvl Entrée]]-Table_BDD[[#This Row],[Lvl Sortie]])/(Table_BDD[[#This Row],[S / L]]-Table_BDD[[#This Row],[Lvl Entrée]]),1),IF(AND(Table_BDD[[#This Row],[Profit]]&gt;0,Table_BDD[[#This Row],[Type]]="buy"),ROUND((Table_BDD[[#This Row],[Lvl Sortie]]-Table_BDD[[#This Row],[Lvl Entrée]])/(Table_BDD[[#This Row],[Lvl Entrée]]-Table_BDD[[#This Row],[S / L]]),1),ROUND(Table_BDD[[#This Row],[Points]]/10,1)))))</f>
        <v>-1</v>
      </c>
      <c r="AA72" s="32">
        <f>IF(Table_BDD[[#This Row],[Position]]="",AA71,Table_BDD[[#This Row],[Equité après trade]]-Table_BDD[[#This Row],[Profit]]-Table_BDD[[#This Row],[Echange]])</f>
        <v>1025.68</v>
      </c>
      <c r="AB72" s="149">
        <f>$B$1+SUM($L$4:M72)</f>
        <v>1021.03</v>
      </c>
      <c r="AC72" s="150">
        <f>IF(Table_BDD[[#This Row],[Position]]="","",_xlfn.MINIFS(Table_BDD[Horodatage ouverture],Table_BDD[Date],Table_BDD[Date]))</f>
        <v>43871.627708333333</v>
      </c>
      <c r="AD72" s="149">
        <f>VLOOKUP(_xlfn.MINIFS(Table_BDD[Horodatage ouverture],Table_BDD[Date],Table_BDD[Date]),Table_BDD[[Horodatage ouverture]:[Heure derniere valeur]],AA$2)</f>
        <v>1047.8899999999999</v>
      </c>
      <c r="AE72" s="149">
        <f>IF(VLOOKUP(_xlfn.MINIFS(Table_BDD[Horodatage ouverture],Table_BDD[Date],Table_BDD[Date]),Table_BDD[[Horodatage ouverture]:[Heure derniere valeur]],AA$2)=Table_BDD[[#This Row],[Equité avant trade]],VLOOKUP(_xlfn.MINIFS(Table_BDD[Horodatage ouverture],Table_BDD[Date],Table_BDD[Date]),Table_BDD[[Horodatage ouverture]:[Heure derniere valeur]],AA$2),0)</f>
        <v>0</v>
      </c>
      <c r="AF72" s="150">
        <f>IF(Table_BDD[[#This Row],[Position]]="","",_xlfn.MAXIFS(Table_BDD[Horodatage ouverture],Table_BDD[Date],Table_BDD[Date]))</f>
        <v>43871.914259259262</v>
      </c>
      <c r="AG72" s="32">
        <f>VLOOKUP(_xlfn.MAXIFS(Table_BDD[Horodatage cloture],Table_BDD[Date],Table_BDD[Date]),Table_BDD[[Horodatage ouverture]:[Heure derniere valeur]],AB$2)</f>
        <v>984.33</v>
      </c>
      <c r="AH72" s="32">
        <f>IF(VLOOKUP(_xlfn.MAXIFS(Table_BDD[Horodatage cloture],Table_BDD[Date],Table_BDD[Date]),Table_BDD[[Horodatage ouverture]:[Heure derniere valeur]],AB$2)=Table_BDD[[#This Row],[Equité après trade]],VLOOKUP(_xlfn.MAXIFS(Table_BDD[Horodatage cloture],Table_BDD[Date],Table_BDD[Date]),Table_BDD[[Horodatage ouverture]:[Heure derniere valeur]],AB$2),0)</f>
        <v>0</v>
      </c>
      <c r="AI72" s="32" t="e">
        <f>IF(Table_BDD[[#This Row],[Valeur fin de journée unique]]=0,#N/A,Table_BDD[[#This Row],[Valeur fin de journée unique]])</f>
        <v>#N/A</v>
      </c>
      <c r="AJ72" s="35">
        <f>IF(Table_BDD[[#This Row],[Position]]="","",(Table_BDD[[#This Row],[Equité après trade]]-Table_BDD[[#This Row],[Equité avant trade]])/Table_BDD[[#This Row],[Equité avant trade]])</f>
        <v>-4.5335777240465749E-3</v>
      </c>
      <c r="AK72" s="35" t="str">
        <f>IFERROR(((INDEX(Table_BDD[[Trade n°]:[Valeur fin de journée unique]],Table_BDD[[#This Row],[Nb de trade du jour]]+Table_BDD[[#This Row],[Trade n°]]-1,21))-Table_BDD[[#This Row],[Valeur début de journée unique]])/Table_BDD[[#This Row],[Valeur début de journée unique]],"")</f>
        <v/>
      </c>
      <c r="AL72" s="32">
        <f>IF(Table_BDD[[#This Row],[Position]]="","",MAX(Table_BDD[[#This Row],[Cumul équité]],AL71))</f>
        <v>1052.8399999999999</v>
      </c>
      <c r="AM72" s="32">
        <f>IF(Table_BDD[[#This Row],[Position]]="","",MIN(Table_BDD[[#This Row],[Cumul équité]],AL71))</f>
        <v>1021.0300000000001</v>
      </c>
      <c r="AN72" s="97">
        <f>IF(Table_BDD[[#This Row],[Sommet Drawdown]]&gt;AL71,"",Table_BDD[[#This Row],[Creux Drawdown]]/Table_BDD[[#This Row],[Sommet Drawdown]]-1)</f>
        <v>-3.0213517723490568E-2</v>
      </c>
      <c r="AO72" s="36">
        <f>IF(Table_BDD[[#This Row],[Position]]="","",IF(Table_BDD[[#This Row],[Type]]="buy",ROUND(Table_BDD[[#This Row],[Lvl Sortie]]-Table_BDD[[#This Row],[Lvl Entrée]],1),ROUND(Table_BDD[[#This Row],[Lvl Entrée]]-Table_BDD[[#This Row],[Lvl Sortie]],1)))</f>
        <v>-10.199999999999999</v>
      </c>
      <c r="AP72" s="36" t="str">
        <f>IF(Table_BDD[[#This Row],[Points]]&gt;0,Table_BDD[[#This Row],[Points]],"")</f>
        <v/>
      </c>
      <c r="AQ72" s="36">
        <f>IF(Table_BDD[[#This Row],[Points]]&lt;0,Table_BDD[[#This Row],[Points]],"")</f>
        <v>-10.199999999999999</v>
      </c>
      <c r="AR72" s="36">
        <f>SUM($AO$4:AO72)</f>
        <v>46.100000000000009</v>
      </c>
      <c r="AS72" s="68">
        <f>IF(Table_BDD[[#This Row],[Position]]="","",IF(Table_BDD[[#This Row],[Conformité]]="Conforme",1,0))</f>
        <v>0</v>
      </c>
      <c r="AT72" s="68">
        <f>IF(Table_BDD[[#This Row],[Position]]="","",IF(Table_BDD[[#This Row],[Conformité]]="Non conforme",1,0))</f>
        <v>1</v>
      </c>
      <c r="AU72" s="37" t="s">
        <v>17</v>
      </c>
      <c r="AV72" s="37"/>
      <c r="AW72" s="37"/>
      <c r="AX72" s="37">
        <v>0</v>
      </c>
      <c r="AY72" s="37">
        <v>0</v>
      </c>
      <c r="AZ72" s="37">
        <v>0</v>
      </c>
      <c r="BA72" s="40" t="str">
        <f>IF(Table_BDD[[#This Row],[Position]]="","Sans objet",IF(AND(Table_BDD[[#This Row],[Type]]="sell",Table_BDD[[#This Row],[S / L]]&lt;Table_BDD[[#This Row],[Lvl Entrée]],Table_BDD[[#This Row],[Lvl Sortie]]&lt;=Table_BDD[[#This Row],[S / L]]+2,Table_BDD[[#This Row],[Lvl Sortie]]&lt;Table_BDD[[#This Row],[Lvl Entrée]]-19),"Oui",IF(AND(Table_BDD[[#This Row],[Type]]="buy",Table_BDD[[#This Row],[S / L]]&gt;Table_BDD[[#This Row],[Lvl Entrée]],Table_BDD[[#This Row],[Lvl Sortie]]&gt;=Table_BDD[[#This Row],[S / L]]-2,Table_BDD[[#This Row],[S / L]]&gt;Table_BDD[[#This Row],[Lvl Entrée]]+19),"Oui","Non")))</f>
        <v>Non</v>
      </c>
      <c r="BB72" s="40" t="str">
        <f>IF(Table_BDD[[#This Row],[Position]]="","Sans objet",IF(AND(Table_BDD[[#This Row],[Type]]="sell",Table_BDD[[#This Row],[S / L]]&lt;Table_BDD[[#This Row],[Lvl Entrée]],Table_BDD[[#This Row],[Points]]&gt;=-1),"Oui",IF(AND(Table_BDD[[#This Row],[Type]]="sell",Table_BDD[[#This Row],[S / L]]&gt;Table_BDD[[#This Row],[Lvl Entrée]]),"Non",IF(AND(Table_BDD[[#This Row],[Type]]="buy",Table_BDD[[#This Row],[S / L]]&lt;Table_BDD[[#This Row],[Lvl Entrée]]),"Non",IF(AND(Table_BDD[[#This Row],[Type]]="buy",Table_BDD[[#This Row],[S / L]]&gt;Table_BDD[[#This Row],[Lvl Entrée]],Table_BDD[[#This Row],[Points]]&gt;=-1),"Oui")))))</f>
        <v>Non</v>
      </c>
      <c r="BC72" s="40" t="str">
        <f>IF(Table_BDD[[#This Row],[Position]]="","Sans objet",IF(Table_BDD[[#This Row],[T / P]]="","Non",IF(AND(Table_BDD[[#This Row],[Type]]="sell",Table_BDD[[#This Row],[Lvl Sortie]]&lt;=Table_BDD[[#This Row],[T / P]]),"Oui",IF(AND(Table_BDD[[#This Row],[Type]]="buy",Table_BDD[[#This Row],[Lvl Sortie]]&gt;=Table_BDD[[#This Row],[T / P]]),"Oui","Non"))))</f>
        <v>Non</v>
      </c>
      <c r="BD72" s="91">
        <f t="array" ref="BD72">IFERROR(INDEX(downloadFile[#All],MATCH(Table_BDD[[#This Row],[Date]],downloadFile[[#All],[Column1]],0),2),BD71)</f>
        <v>1.0951</v>
      </c>
      <c r="BE72" s="89">
        <f>IF(Table_BDD[[#This Row],[Position]]="","",IF(Table_BDD[[#This Row],[Symbole]]="UsaInd",(Table_BDD[[#This Row],[Volume]]*Table_BDD[[#This Row],[Lvl Entrée]])/(Table_BDD[[#This Row],[Equité avant trade]]*Table_BDD[[#This Row],[EUR/USD]]),IF(Table_BDD[[#This Row],[Symbole]]="Ger30",(Table_BDD[[#This Row],[Volume]]*Table_BDD[[#This Row],[Lvl Entrée]])/Table_BDD[[#This Row],[Equité avant trade]],)))</f>
        <v>12.986268803768837</v>
      </c>
      <c r="BF72" s="38">
        <f>IF(Table_BDD[[#This Row],[Position]]="","",IF(Table_BDD[[#This Row],[Conformité]]="Non conforme",0,(MROUND(3*((Table_BDD[[#This Row],[Conviction]]+Table_BDD[[#This Row],[Timing]]+Table_BDD[[#This Row],[Sortie]])+1)-2,1))))</f>
        <v>0</v>
      </c>
      <c r="BG72" s="38" t="str">
        <f>IF(Table_BDD[[#This Row],[Position]]="","",IF(Table_BDD[[#This Row],[Points]]&lt;-5,"--",IF(AND(Table_BDD[[#This Row],[Points]]&gt;=-5,Table_BDD[[#This Row],[Points]]&lt;-1.5),"-",IF(AND(Table_BDD[[#This Row],[Points]]&gt;=-1.5,Table_BDD[[#This Row],[Points]]&lt;1.5),"0",IF(AND(Table_BDD[[#This Row],[Points]]&gt;=1.5,Table_BDD[[#This Row],[Points]]&lt;=70),"+",IF(Table_BDD[[#This Row],[Points]]&gt;70,"++"))))))</f>
        <v>--</v>
      </c>
      <c r="BH72" s="37" t="str">
        <f>IF(Table_BDD[[#This Row],[Position]]="","",IF(Table_BDD[[#This Row],[Points]]&gt;0,"Gagnant",IF(Table_BDD[[#This Row],[Points]]=0,"Flat","Perdant")))</f>
        <v>Perdant</v>
      </c>
      <c r="BI72" s="40">
        <f>IF(Table_BDD[[#This Row],[Position]]="","",IF(Table_BDD[[#This Row],[Résultat]]="Gagnant",1,0))</f>
        <v>0</v>
      </c>
      <c r="BJ72" s="40">
        <f>IF(Table_BDD[[#This Row],[Position]]="","",IF(Table_BDD[[#This Row],[Résultat]]="Perdant",1,0))</f>
        <v>1</v>
      </c>
      <c r="BK72" s="40"/>
      <c r="BL72" s="145">
        <f>IF(Table_BDD[[#This Row],[T / P]]="","",Table_BDD[[#This Row],[T / P]])</f>
        <v>29022.93</v>
      </c>
      <c r="BM72" s="147"/>
      <c r="BN72" s="147"/>
      <c r="BO72" s="147"/>
      <c r="BP72" s="147"/>
      <c r="BQ72" s="127"/>
    </row>
    <row r="73" spans="1:69" x14ac:dyDescent="0.2">
      <c r="A73" s="93">
        <v>43871.675532407404</v>
      </c>
      <c r="B73" s="94">
        <v>259694452</v>
      </c>
      <c r="C73" s="37" t="s">
        <v>8</v>
      </c>
      <c r="D73" s="37" t="s">
        <v>10</v>
      </c>
      <c r="E73" s="37">
        <v>0.5</v>
      </c>
      <c r="F73" s="95">
        <v>29175.11</v>
      </c>
      <c r="G73" s="95">
        <v>29185.11</v>
      </c>
      <c r="H73" s="95">
        <v>29055.11</v>
      </c>
      <c r="I73" s="93">
        <v>43871.679965277777</v>
      </c>
      <c r="J73" s="95">
        <v>29185.11</v>
      </c>
      <c r="K73" s="95">
        <v>0</v>
      </c>
      <c r="L73" s="95">
        <v>0</v>
      </c>
      <c r="M73" s="32">
        <v>-4.57</v>
      </c>
      <c r="N73" s="148">
        <f>IF(Table_BDD[[#This Row],[Position]]="","",ROW()-3)</f>
        <v>70</v>
      </c>
      <c r="O73" s="32">
        <f>SUM($L$4:M73)</f>
        <v>16.460000000000029</v>
      </c>
      <c r="P73" s="32">
        <f>Table_BDD[[#This Row],[Equité avant trade]]+Table_BDD[[#This Row],[Profit]]+Table_BDD[[#This Row],[Echange]]</f>
        <v>1016.46</v>
      </c>
      <c r="Q73" s="52">
        <f>INT(Table_BDD[[#This Row],[Horodatage cloture]])</f>
        <v>43871</v>
      </c>
      <c r="R73" s="34">
        <f>WEEKNUM(Table_BDD[[#This Row],[Horodatage cloture]],2)</f>
        <v>7</v>
      </c>
      <c r="S73" s="61">
        <f>WEEKDAY(Table_BDD[[#This Row],[Horodatage cloture]])</f>
        <v>2</v>
      </c>
      <c r="T73" s="63">
        <f>HOUR(Table_BDD[[#This Row],[Horodatage cloture]])</f>
        <v>16</v>
      </c>
      <c r="U73" s="68">
        <f>IF(Table_BDD[[#This Row],[Position]]="","",IF(Table_BDD[[#This Row],[Valeur début de journée unique]]&lt;&gt;0,1,0))</f>
        <v>0</v>
      </c>
      <c r="V73" s="68" t="str">
        <f>IF(Table_BDD[[#This Row],[Nb de séance de trading]]=1,COUNTIF(Table_BDD[Date],Table_BDD[[#This Row],[Date]]),"")</f>
        <v/>
      </c>
      <c r="W73" s="33">
        <f>IF(Table_BDD[[#This Row],[Position]]="","",IF(Table_BDD[[#This Row],[Type]]="buy",ROUND(Table_BDD[[#This Row],[Lvl Entrée]]-Table_BDD[[#This Row],[S / L]],1),ROUND(Table_BDD[[#This Row],[S / L]]-Table_BDD[[#This Row],[Lvl Entrée]],1)))</f>
        <v>10</v>
      </c>
      <c r="X73" s="33">
        <f>IF(Table_BDD[[#This Row],[Position]]="","",IF(Table_BDD[[#This Row],[T / P]]=0,200,IF(Table_BDD[[#This Row],[Type]]="buy",ROUND(Table_BDD[[#This Row],[T / P]]-Table_BDD[[#This Row],[Lvl Entrée]],1),ROUND(Table_BDD[[#This Row],[Lvl Entrée]]-Table_BDD[[#This Row],[T / P]],1))))</f>
        <v>120</v>
      </c>
      <c r="Y73" s="34">
        <f>IF(Table_BDD[[#This Row],[Position]]="","",IF(Table_BDD[[#This Row],[Ecart du SL]]&gt;0,ROUND(ABS(Table_BDD[[#This Row],[Ecart du TP]])/ABS(Table_BDD[[#This Row],[Ecart du SL]]),1),ROUND(ABS(Table_BDD[[#This Row],[Ecart du TP]])/10,1)))</f>
        <v>12</v>
      </c>
      <c r="Z73" s="34">
        <f>IF(Table_BDD[[#This Row],[Position]]="","",IF(Table_BDD[[#This Row],[Ecart du SL]]&lt;0,IF(AND(Table_BDD[[#This Row],[Profit]]&gt;0,Table_BDD[[#This Row],[Type]]="sell"),ROUND((Table_BDD[[#This Row],[Lvl Entrée]]-Table_BDD[[#This Row],[Lvl Sortie]])/(10),1),IF(AND(Table_BDD[[#This Row],[Profit]]&gt;0,Table_BDD[[#This Row],[Type]]="buy"),ROUND((Table_BDD[[#This Row],[Lvl Sortie]]-Table_BDD[[#This Row],[Lvl Entrée]])/(10),1),)),IF(AND(Table_BDD[[#This Row],[Profit]]&gt;0,Table_BDD[[#This Row],[Type]]="sell"),ROUND((Table_BDD[[#This Row],[Lvl Entrée]]-Table_BDD[[#This Row],[Lvl Sortie]])/(Table_BDD[[#This Row],[S / L]]-Table_BDD[[#This Row],[Lvl Entrée]]),1),IF(AND(Table_BDD[[#This Row],[Profit]]&gt;0,Table_BDD[[#This Row],[Type]]="buy"),ROUND((Table_BDD[[#This Row],[Lvl Sortie]]-Table_BDD[[#This Row],[Lvl Entrée]])/(Table_BDD[[#This Row],[Lvl Entrée]]-Table_BDD[[#This Row],[S / L]]),1),ROUND(Table_BDD[[#This Row],[Points]]/10,1)))))</f>
        <v>-1</v>
      </c>
      <c r="AA73" s="32">
        <f>IF(Table_BDD[[#This Row],[Position]]="",AA72,Table_BDD[[#This Row],[Equité après trade]]-Table_BDD[[#This Row],[Profit]]-Table_BDD[[#This Row],[Echange]])</f>
        <v>1021.0300000000001</v>
      </c>
      <c r="AB73" s="149">
        <f>$B$1+SUM($L$4:M73)</f>
        <v>1016.46</v>
      </c>
      <c r="AC73" s="150">
        <f>IF(Table_BDD[[#This Row],[Position]]="","",_xlfn.MINIFS(Table_BDD[Horodatage ouverture],Table_BDD[Date],Table_BDD[Date]))</f>
        <v>43871.627708333333</v>
      </c>
      <c r="AD73" s="149">
        <f>VLOOKUP(_xlfn.MINIFS(Table_BDD[Horodatage ouverture],Table_BDD[Date],Table_BDD[Date]),Table_BDD[[Horodatage ouverture]:[Heure derniere valeur]],AA$2)</f>
        <v>1047.8899999999999</v>
      </c>
      <c r="AE73" s="149">
        <f>IF(VLOOKUP(_xlfn.MINIFS(Table_BDD[Horodatage ouverture],Table_BDD[Date],Table_BDD[Date]),Table_BDD[[Horodatage ouverture]:[Heure derniere valeur]],AA$2)=Table_BDD[[#This Row],[Equité avant trade]],VLOOKUP(_xlfn.MINIFS(Table_BDD[Horodatage ouverture],Table_BDD[Date],Table_BDD[Date]),Table_BDD[[Horodatage ouverture]:[Heure derniere valeur]],AA$2),0)</f>
        <v>0</v>
      </c>
      <c r="AF73" s="150">
        <f>IF(Table_BDD[[#This Row],[Position]]="","",_xlfn.MAXIFS(Table_BDD[Horodatage ouverture],Table_BDD[Date],Table_BDD[Date]))</f>
        <v>43871.914259259262</v>
      </c>
      <c r="AG73" s="32">
        <f>VLOOKUP(_xlfn.MAXIFS(Table_BDD[Horodatage cloture],Table_BDD[Date],Table_BDD[Date]),Table_BDD[[Horodatage ouverture]:[Heure derniere valeur]],AB$2)</f>
        <v>984.33</v>
      </c>
      <c r="AH73" s="32">
        <f>IF(VLOOKUP(_xlfn.MAXIFS(Table_BDD[Horodatage cloture],Table_BDD[Date],Table_BDD[Date]),Table_BDD[[Horodatage ouverture]:[Heure derniere valeur]],AB$2)=Table_BDD[[#This Row],[Equité après trade]],VLOOKUP(_xlfn.MAXIFS(Table_BDD[Horodatage cloture],Table_BDD[Date],Table_BDD[Date]),Table_BDD[[Horodatage ouverture]:[Heure derniere valeur]],AB$2),0)</f>
        <v>0</v>
      </c>
      <c r="AI73" s="32" t="e">
        <f>IF(Table_BDD[[#This Row],[Valeur fin de journée unique]]=0,#N/A,Table_BDD[[#This Row],[Valeur fin de journée unique]])</f>
        <v>#N/A</v>
      </c>
      <c r="AJ73" s="35">
        <f>IF(Table_BDD[[#This Row],[Position]]="","",(Table_BDD[[#This Row],[Equité après trade]]-Table_BDD[[#This Row],[Equité avant trade]])/Table_BDD[[#This Row],[Equité avant trade]])</f>
        <v>-4.4758724033574426E-3</v>
      </c>
      <c r="AK73" s="35" t="str">
        <f>IFERROR(((INDEX(Table_BDD[[Trade n°]:[Valeur fin de journée unique]],Table_BDD[[#This Row],[Nb de trade du jour]]+Table_BDD[[#This Row],[Trade n°]]-1,21))-Table_BDD[[#This Row],[Valeur début de journée unique]])/Table_BDD[[#This Row],[Valeur début de journée unique]],"")</f>
        <v/>
      </c>
      <c r="AL73" s="32">
        <f>IF(Table_BDD[[#This Row],[Position]]="","",MAX(Table_BDD[[#This Row],[Cumul équité]],AL72))</f>
        <v>1052.8399999999999</v>
      </c>
      <c r="AM73" s="32">
        <f>IF(Table_BDD[[#This Row],[Position]]="","",MIN(Table_BDD[[#This Row],[Cumul équité]],AL72))</f>
        <v>1016.46</v>
      </c>
      <c r="AN73" s="97">
        <f>IF(Table_BDD[[#This Row],[Sommet Drawdown]]&gt;AL72,"",Table_BDD[[#This Row],[Creux Drawdown]]/Table_BDD[[#This Row],[Sommet Drawdown]]-1)</f>
        <v>-3.4554158276661084E-2</v>
      </c>
      <c r="AO73" s="36">
        <f>IF(Table_BDD[[#This Row],[Position]]="","",IF(Table_BDD[[#This Row],[Type]]="buy",ROUND(Table_BDD[[#This Row],[Lvl Sortie]]-Table_BDD[[#This Row],[Lvl Entrée]],1),ROUND(Table_BDD[[#This Row],[Lvl Entrée]]-Table_BDD[[#This Row],[Lvl Sortie]],1)))</f>
        <v>-10</v>
      </c>
      <c r="AP73" s="36" t="str">
        <f>IF(Table_BDD[[#This Row],[Points]]&gt;0,Table_BDD[[#This Row],[Points]],"")</f>
        <v/>
      </c>
      <c r="AQ73" s="36">
        <f>IF(Table_BDD[[#This Row],[Points]]&lt;0,Table_BDD[[#This Row],[Points]],"")</f>
        <v>-10</v>
      </c>
      <c r="AR73" s="36">
        <f>SUM($AO$4:AO73)</f>
        <v>36.100000000000009</v>
      </c>
      <c r="AS73" s="68">
        <f>IF(Table_BDD[[#This Row],[Position]]="","",IF(Table_BDD[[#This Row],[Conformité]]="Conforme",1,0))</f>
        <v>0</v>
      </c>
      <c r="AT73" s="68">
        <f>IF(Table_BDD[[#This Row],[Position]]="","",IF(Table_BDD[[#This Row],[Conformité]]="Non conforme",1,0))</f>
        <v>1</v>
      </c>
      <c r="AU73" s="37" t="s">
        <v>17</v>
      </c>
      <c r="AV73" s="37"/>
      <c r="AW73" s="37"/>
      <c r="AX73" s="37">
        <v>0</v>
      </c>
      <c r="AY73" s="37">
        <v>0</v>
      </c>
      <c r="AZ73" s="37">
        <v>0</v>
      </c>
      <c r="BA73" s="40" t="str">
        <f>IF(Table_BDD[[#This Row],[Position]]="","Sans objet",IF(AND(Table_BDD[[#This Row],[Type]]="sell",Table_BDD[[#This Row],[S / L]]&lt;Table_BDD[[#This Row],[Lvl Entrée]],Table_BDD[[#This Row],[Lvl Sortie]]&lt;=Table_BDD[[#This Row],[S / L]]+2,Table_BDD[[#This Row],[Lvl Sortie]]&lt;Table_BDD[[#This Row],[Lvl Entrée]]-19),"Oui",IF(AND(Table_BDD[[#This Row],[Type]]="buy",Table_BDD[[#This Row],[S / L]]&gt;Table_BDD[[#This Row],[Lvl Entrée]],Table_BDD[[#This Row],[Lvl Sortie]]&gt;=Table_BDD[[#This Row],[S / L]]-2,Table_BDD[[#This Row],[S / L]]&gt;Table_BDD[[#This Row],[Lvl Entrée]]+19),"Oui","Non")))</f>
        <v>Non</v>
      </c>
      <c r="BB73" s="40" t="str">
        <f>IF(Table_BDD[[#This Row],[Position]]="","Sans objet",IF(AND(Table_BDD[[#This Row],[Type]]="sell",Table_BDD[[#This Row],[S / L]]&lt;Table_BDD[[#This Row],[Lvl Entrée]],Table_BDD[[#This Row],[Points]]&gt;=-1),"Oui",IF(AND(Table_BDD[[#This Row],[Type]]="sell",Table_BDD[[#This Row],[S / L]]&gt;Table_BDD[[#This Row],[Lvl Entrée]]),"Non",IF(AND(Table_BDD[[#This Row],[Type]]="buy",Table_BDD[[#This Row],[S / L]]&lt;Table_BDD[[#This Row],[Lvl Entrée]]),"Non",IF(AND(Table_BDD[[#This Row],[Type]]="buy",Table_BDD[[#This Row],[S / L]]&gt;Table_BDD[[#This Row],[Lvl Entrée]],Table_BDD[[#This Row],[Points]]&gt;=-1),"Oui")))))</f>
        <v>Non</v>
      </c>
      <c r="BC73" s="40" t="str">
        <f>IF(Table_BDD[[#This Row],[Position]]="","Sans objet",IF(Table_BDD[[#This Row],[T / P]]="","Non",IF(AND(Table_BDD[[#This Row],[Type]]="sell",Table_BDD[[#This Row],[Lvl Sortie]]&lt;=Table_BDD[[#This Row],[T / P]]),"Oui",IF(AND(Table_BDD[[#This Row],[Type]]="buy",Table_BDD[[#This Row],[Lvl Sortie]]&gt;=Table_BDD[[#This Row],[T / P]]),"Oui","Non"))))</f>
        <v>Non</v>
      </c>
      <c r="BD73" s="91">
        <f t="array" ref="BD73">IFERROR(INDEX(downloadFile[#All],MATCH(Table_BDD[[#This Row],[Date]],downloadFile[[#All],[Column1]],0),2),BD72)</f>
        <v>1.0951</v>
      </c>
      <c r="BE73" s="89">
        <f>IF(Table_BDD[[#This Row],[Position]]="","",IF(Table_BDD[[#This Row],[Symbole]]="UsaInd",(Table_BDD[[#This Row],[Volume]]*Table_BDD[[#This Row],[Lvl Entrée]])/(Table_BDD[[#This Row],[Equité avant trade]]*Table_BDD[[#This Row],[EUR/USD]]),IF(Table_BDD[[#This Row],[Symbole]]="Ger30",(Table_BDD[[#This Row],[Volume]]*Table_BDD[[#This Row],[Lvl Entrée]])/Table_BDD[[#This Row],[Equité avant trade]],)))</f>
        <v>13.04638603130239</v>
      </c>
      <c r="BF73" s="38">
        <f>IF(Table_BDD[[#This Row],[Position]]="","",IF(Table_BDD[[#This Row],[Conformité]]="Non conforme",0,(MROUND(3*((Table_BDD[[#This Row],[Conviction]]+Table_BDD[[#This Row],[Timing]]+Table_BDD[[#This Row],[Sortie]])+1)-2,1))))</f>
        <v>0</v>
      </c>
      <c r="BG73" s="38" t="str">
        <f>IF(Table_BDD[[#This Row],[Position]]="","",IF(Table_BDD[[#This Row],[Points]]&lt;-5,"--",IF(AND(Table_BDD[[#This Row],[Points]]&gt;=-5,Table_BDD[[#This Row],[Points]]&lt;-1.5),"-",IF(AND(Table_BDD[[#This Row],[Points]]&gt;=-1.5,Table_BDD[[#This Row],[Points]]&lt;1.5),"0",IF(AND(Table_BDD[[#This Row],[Points]]&gt;=1.5,Table_BDD[[#This Row],[Points]]&lt;=70),"+",IF(Table_BDD[[#This Row],[Points]]&gt;70,"++"))))))</f>
        <v>--</v>
      </c>
      <c r="BH73" s="37" t="str">
        <f>IF(Table_BDD[[#This Row],[Position]]="","",IF(Table_BDD[[#This Row],[Points]]&gt;0,"Gagnant",IF(Table_BDD[[#This Row],[Points]]=0,"Flat","Perdant")))</f>
        <v>Perdant</v>
      </c>
      <c r="BI73" s="40">
        <f>IF(Table_BDD[[#This Row],[Position]]="","",IF(Table_BDD[[#This Row],[Résultat]]="Gagnant",1,0))</f>
        <v>0</v>
      </c>
      <c r="BJ73" s="40">
        <f>IF(Table_BDD[[#This Row],[Position]]="","",IF(Table_BDD[[#This Row],[Résultat]]="Perdant",1,0))</f>
        <v>1</v>
      </c>
      <c r="BK73" s="40"/>
      <c r="BL73" s="145">
        <f>IF(Table_BDD[[#This Row],[T / P]]="","",Table_BDD[[#This Row],[T / P]])</f>
        <v>29055.11</v>
      </c>
      <c r="BM73" s="147"/>
      <c r="BN73" s="147"/>
      <c r="BO73" s="147"/>
      <c r="BP73" s="147"/>
      <c r="BQ73" s="127"/>
    </row>
    <row r="74" spans="1:69" x14ac:dyDescent="0.2">
      <c r="A74" s="93">
        <v>43871.680023148147</v>
      </c>
      <c r="B74" s="94">
        <v>259695310</v>
      </c>
      <c r="C74" s="37" t="s">
        <v>8</v>
      </c>
      <c r="D74" s="37" t="s">
        <v>10</v>
      </c>
      <c r="E74" s="37">
        <v>0.5</v>
      </c>
      <c r="F74" s="95">
        <v>29184.9</v>
      </c>
      <c r="G74" s="95">
        <v>29194.9</v>
      </c>
      <c r="H74" s="95">
        <v>29054.9</v>
      </c>
      <c r="I74" s="93">
        <v>43871.687962962962</v>
      </c>
      <c r="J74" s="95">
        <v>29195.14</v>
      </c>
      <c r="K74" s="95">
        <v>0</v>
      </c>
      <c r="L74" s="95">
        <v>0</v>
      </c>
      <c r="M74" s="32">
        <v>-4.68</v>
      </c>
      <c r="N74" s="148">
        <f>IF(Table_BDD[[#This Row],[Position]]="","",ROW()-3)</f>
        <v>71</v>
      </c>
      <c r="O74" s="32">
        <f>SUM($L$4:M74)</f>
        <v>11.78000000000003</v>
      </c>
      <c r="P74" s="32">
        <f>Table_BDD[[#This Row],[Equité avant trade]]+Table_BDD[[#This Row],[Profit]]+Table_BDD[[#This Row],[Echange]]</f>
        <v>1011.78</v>
      </c>
      <c r="Q74" s="52">
        <f>INT(Table_BDD[[#This Row],[Horodatage cloture]])</f>
        <v>43871</v>
      </c>
      <c r="R74" s="34">
        <f>WEEKNUM(Table_BDD[[#This Row],[Horodatage cloture]],2)</f>
        <v>7</v>
      </c>
      <c r="S74" s="61">
        <f>WEEKDAY(Table_BDD[[#This Row],[Horodatage cloture]])</f>
        <v>2</v>
      </c>
      <c r="T74" s="63">
        <f>HOUR(Table_BDD[[#This Row],[Horodatage cloture]])</f>
        <v>16</v>
      </c>
      <c r="U74" s="68">
        <f>IF(Table_BDD[[#This Row],[Position]]="","",IF(Table_BDD[[#This Row],[Valeur début de journée unique]]&lt;&gt;0,1,0))</f>
        <v>0</v>
      </c>
      <c r="V74" s="68" t="str">
        <f>IF(Table_BDD[[#This Row],[Nb de séance de trading]]=1,COUNTIF(Table_BDD[Date],Table_BDD[[#This Row],[Date]]),"")</f>
        <v/>
      </c>
      <c r="W74" s="33">
        <f>IF(Table_BDD[[#This Row],[Position]]="","",IF(Table_BDD[[#This Row],[Type]]="buy",ROUND(Table_BDD[[#This Row],[Lvl Entrée]]-Table_BDD[[#This Row],[S / L]],1),ROUND(Table_BDD[[#This Row],[S / L]]-Table_BDD[[#This Row],[Lvl Entrée]],1)))</f>
        <v>10</v>
      </c>
      <c r="X74" s="33">
        <f>IF(Table_BDD[[#This Row],[Position]]="","",IF(Table_BDD[[#This Row],[T / P]]=0,200,IF(Table_BDD[[#This Row],[Type]]="buy",ROUND(Table_BDD[[#This Row],[T / P]]-Table_BDD[[#This Row],[Lvl Entrée]],1),ROUND(Table_BDD[[#This Row],[Lvl Entrée]]-Table_BDD[[#This Row],[T / P]],1))))</f>
        <v>130</v>
      </c>
      <c r="Y74" s="34">
        <f>IF(Table_BDD[[#This Row],[Position]]="","",IF(Table_BDD[[#This Row],[Ecart du SL]]&gt;0,ROUND(ABS(Table_BDD[[#This Row],[Ecart du TP]])/ABS(Table_BDD[[#This Row],[Ecart du SL]]),1),ROUND(ABS(Table_BDD[[#This Row],[Ecart du TP]])/10,1)))</f>
        <v>13</v>
      </c>
      <c r="Z74" s="34">
        <f>IF(Table_BDD[[#This Row],[Position]]="","",IF(Table_BDD[[#This Row],[Ecart du SL]]&lt;0,IF(AND(Table_BDD[[#This Row],[Profit]]&gt;0,Table_BDD[[#This Row],[Type]]="sell"),ROUND((Table_BDD[[#This Row],[Lvl Entrée]]-Table_BDD[[#This Row],[Lvl Sortie]])/(10),1),IF(AND(Table_BDD[[#This Row],[Profit]]&gt;0,Table_BDD[[#This Row],[Type]]="buy"),ROUND((Table_BDD[[#This Row],[Lvl Sortie]]-Table_BDD[[#This Row],[Lvl Entrée]])/(10),1),)),IF(AND(Table_BDD[[#This Row],[Profit]]&gt;0,Table_BDD[[#This Row],[Type]]="sell"),ROUND((Table_BDD[[#This Row],[Lvl Entrée]]-Table_BDD[[#This Row],[Lvl Sortie]])/(Table_BDD[[#This Row],[S / L]]-Table_BDD[[#This Row],[Lvl Entrée]]),1),IF(AND(Table_BDD[[#This Row],[Profit]]&gt;0,Table_BDD[[#This Row],[Type]]="buy"),ROUND((Table_BDD[[#This Row],[Lvl Sortie]]-Table_BDD[[#This Row],[Lvl Entrée]])/(Table_BDD[[#This Row],[Lvl Entrée]]-Table_BDD[[#This Row],[S / L]]),1),ROUND(Table_BDD[[#This Row],[Points]]/10,1)))))</f>
        <v>-1</v>
      </c>
      <c r="AA74" s="32">
        <f>IF(Table_BDD[[#This Row],[Position]]="",AA73,Table_BDD[[#This Row],[Equité après trade]]-Table_BDD[[#This Row],[Profit]]-Table_BDD[[#This Row],[Echange]])</f>
        <v>1016.4599999999999</v>
      </c>
      <c r="AB74" s="149">
        <f>$B$1+SUM($L$4:M74)</f>
        <v>1011.78</v>
      </c>
      <c r="AC74" s="150">
        <f>IF(Table_BDD[[#This Row],[Position]]="","",_xlfn.MINIFS(Table_BDD[Horodatage ouverture],Table_BDD[Date],Table_BDD[Date]))</f>
        <v>43871.627708333333</v>
      </c>
      <c r="AD74" s="149">
        <f>VLOOKUP(_xlfn.MINIFS(Table_BDD[Horodatage ouverture],Table_BDD[Date],Table_BDD[Date]),Table_BDD[[Horodatage ouverture]:[Heure derniere valeur]],AA$2)</f>
        <v>1047.8899999999999</v>
      </c>
      <c r="AE74" s="149">
        <f>IF(VLOOKUP(_xlfn.MINIFS(Table_BDD[Horodatage ouverture],Table_BDD[Date],Table_BDD[Date]),Table_BDD[[Horodatage ouverture]:[Heure derniere valeur]],AA$2)=Table_BDD[[#This Row],[Equité avant trade]],VLOOKUP(_xlfn.MINIFS(Table_BDD[Horodatage ouverture],Table_BDD[Date],Table_BDD[Date]),Table_BDD[[Horodatage ouverture]:[Heure derniere valeur]],AA$2),0)</f>
        <v>0</v>
      </c>
      <c r="AF74" s="150">
        <f>IF(Table_BDD[[#This Row],[Position]]="","",_xlfn.MAXIFS(Table_BDD[Horodatage ouverture],Table_BDD[Date],Table_BDD[Date]))</f>
        <v>43871.914259259262</v>
      </c>
      <c r="AG74" s="32">
        <f>VLOOKUP(_xlfn.MAXIFS(Table_BDD[Horodatage cloture],Table_BDD[Date],Table_BDD[Date]),Table_BDD[[Horodatage ouverture]:[Heure derniere valeur]],AB$2)</f>
        <v>984.33</v>
      </c>
      <c r="AH74" s="32">
        <f>IF(VLOOKUP(_xlfn.MAXIFS(Table_BDD[Horodatage cloture],Table_BDD[Date],Table_BDD[Date]),Table_BDD[[Horodatage ouverture]:[Heure derniere valeur]],AB$2)=Table_BDD[[#This Row],[Equité après trade]],VLOOKUP(_xlfn.MAXIFS(Table_BDD[Horodatage cloture],Table_BDD[Date],Table_BDD[Date]),Table_BDD[[Horodatage ouverture]:[Heure derniere valeur]],AB$2),0)</f>
        <v>0</v>
      </c>
      <c r="AI74" s="32" t="e">
        <f>IF(Table_BDD[[#This Row],[Valeur fin de journée unique]]=0,#N/A,Table_BDD[[#This Row],[Valeur fin de journée unique]])</f>
        <v>#N/A</v>
      </c>
      <c r="AJ74" s="35">
        <f>IF(Table_BDD[[#This Row],[Position]]="","",(Table_BDD[[#This Row],[Equité après trade]]-Table_BDD[[#This Row],[Equité avant trade]])/Table_BDD[[#This Row],[Equité avant trade]])</f>
        <v>-4.6042146272356511E-3</v>
      </c>
      <c r="AK74" s="35" t="str">
        <f>IFERROR(((INDEX(Table_BDD[[Trade n°]:[Valeur fin de journée unique]],Table_BDD[[#This Row],[Nb de trade du jour]]+Table_BDD[[#This Row],[Trade n°]]-1,21))-Table_BDD[[#This Row],[Valeur début de journée unique]])/Table_BDD[[#This Row],[Valeur début de journée unique]],"")</f>
        <v/>
      </c>
      <c r="AL74" s="32">
        <f>IF(Table_BDD[[#This Row],[Position]]="","",MAX(Table_BDD[[#This Row],[Cumul équité]],AL73))</f>
        <v>1052.8399999999999</v>
      </c>
      <c r="AM74" s="32">
        <f>IF(Table_BDD[[#This Row],[Position]]="","",MIN(Table_BDD[[#This Row],[Cumul équité]],AL73))</f>
        <v>1011.78</v>
      </c>
      <c r="AN74" s="97">
        <f>IF(Table_BDD[[#This Row],[Sommet Drawdown]]&gt;AL73,"",Table_BDD[[#This Row],[Creux Drawdown]]/Table_BDD[[#This Row],[Sommet Drawdown]]-1)</f>
        <v>-3.8999278142927696E-2</v>
      </c>
      <c r="AO74" s="36">
        <f>IF(Table_BDD[[#This Row],[Position]]="","",IF(Table_BDD[[#This Row],[Type]]="buy",ROUND(Table_BDD[[#This Row],[Lvl Sortie]]-Table_BDD[[#This Row],[Lvl Entrée]],1),ROUND(Table_BDD[[#This Row],[Lvl Entrée]]-Table_BDD[[#This Row],[Lvl Sortie]],1)))</f>
        <v>-10.199999999999999</v>
      </c>
      <c r="AP74" s="36" t="str">
        <f>IF(Table_BDD[[#This Row],[Points]]&gt;0,Table_BDD[[#This Row],[Points]],"")</f>
        <v/>
      </c>
      <c r="AQ74" s="36">
        <f>IF(Table_BDD[[#This Row],[Points]]&lt;0,Table_BDD[[#This Row],[Points]],"")</f>
        <v>-10.199999999999999</v>
      </c>
      <c r="AR74" s="36">
        <f>SUM($AO$4:AO74)</f>
        <v>25.900000000000009</v>
      </c>
      <c r="AS74" s="68">
        <f>IF(Table_BDD[[#This Row],[Position]]="","",IF(Table_BDD[[#This Row],[Conformité]]="Conforme",1,0))</f>
        <v>0</v>
      </c>
      <c r="AT74" s="68">
        <f>IF(Table_BDD[[#This Row],[Position]]="","",IF(Table_BDD[[#This Row],[Conformité]]="Non conforme",1,0))</f>
        <v>1</v>
      </c>
      <c r="AU74" s="37" t="s">
        <v>17</v>
      </c>
      <c r="AV74" s="37"/>
      <c r="AW74" s="37"/>
      <c r="AX74" s="37">
        <v>0</v>
      </c>
      <c r="AY74" s="37">
        <v>0</v>
      </c>
      <c r="AZ74" s="37">
        <v>0</v>
      </c>
      <c r="BA74" s="40" t="str">
        <f>IF(Table_BDD[[#This Row],[Position]]="","Sans objet",IF(AND(Table_BDD[[#This Row],[Type]]="sell",Table_BDD[[#This Row],[S / L]]&lt;Table_BDD[[#This Row],[Lvl Entrée]],Table_BDD[[#This Row],[Lvl Sortie]]&lt;=Table_BDD[[#This Row],[S / L]]+2,Table_BDD[[#This Row],[Lvl Sortie]]&lt;Table_BDD[[#This Row],[Lvl Entrée]]-19),"Oui",IF(AND(Table_BDD[[#This Row],[Type]]="buy",Table_BDD[[#This Row],[S / L]]&gt;Table_BDD[[#This Row],[Lvl Entrée]],Table_BDD[[#This Row],[Lvl Sortie]]&gt;=Table_BDD[[#This Row],[S / L]]-2,Table_BDD[[#This Row],[S / L]]&gt;Table_BDD[[#This Row],[Lvl Entrée]]+19),"Oui","Non")))</f>
        <v>Non</v>
      </c>
      <c r="BB74" s="40" t="str">
        <f>IF(Table_BDD[[#This Row],[Position]]="","Sans objet",IF(AND(Table_BDD[[#This Row],[Type]]="sell",Table_BDD[[#This Row],[S / L]]&lt;Table_BDD[[#This Row],[Lvl Entrée]],Table_BDD[[#This Row],[Points]]&gt;=-1),"Oui",IF(AND(Table_BDD[[#This Row],[Type]]="sell",Table_BDD[[#This Row],[S / L]]&gt;Table_BDD[[#This Row],[Lvl Entrée]]),"Non",IF(AND(Table_BDD[[#This Row],[Type]]="buy",Table_BDD[[#This Row],[S / L]]&lt;Table_BDD[[#This Row],[Lvl Entrée]]),"Non",IF(AND(Table_BDD[[#This Row],[Type]]="buy",Table_BDD[[#This Row],[S / L]]&gt;Table_BDD[[#This Row],[Lvl Entrée]],Table_BDD[[#This Row],[Points]]&gt;=-1),"Oui")))))</f>
        <v>Non</v>
      </c>
      <c r="BC74" s="40" t="s">
        <v>30</v>
      </c>
      <c r="BD74" s="91">
        <f t="array" ref="BD74">IFERROR(INDEX(downloadFile[#All],MATCH(Table_BDD[[#This Row],[Date]],downloadFile[[#All],[Column1]],0),2),BD72)</f>
        <v>1.0951</v>
      </c>
      <c r="BE74" s="89">
        <f>IF(Table_BDD[[#This Row],[Position]]="","",IF(Table_BDD[[#This Row],[Symbole]]="UsaInd",(Table_BDD[[#This Row],[Volume]]*Table_BDD[[#This Row],[Lvl Entrée]])/(Table_BDD[[#This Row],[Equité avant trade]]*Table_BDD[[#This Row],[EUR/USD]]),IF(Table_BDD[[#This Row],[Symbole]]="Ger30",(Table_BDD[[#This Row],[Volume]]*Table_BDD[[#This Row],[Lvl Entrée]])/Table_BDD[[#This Row],[Equité avant trade]],)))</f>
        <v>13.10944005761594</v>
      </c>
      <c r="BF74" s="38">
        <f>IF(Table_BDD[[#This Row],[Position]]="","",IF(Table_BDD[[#This Row],[Conformité]]="Non conforme",0,(MROUND(3*((Table_BDD[[#This Row],[Conviction]]+Table_BDD[[#This Row],[Timing]]+Table_BDD[[#This Row],[Sortie]])+1)-2,1))))</f>
        <v>0</v>
      </c>
      <c r="BG74" s="38" t="str">
        <f>IF(Table_BDD[[#This Row],[Position]]="","",IF(Table_BDD[[#This Row],[Points]]&lt;-5,"--",IF(AND(Table_BDD[[#This Row],[Points]]&gt;=-5,Table_BDD[[#This Row],[Points]]&lt;-1.5),"-",IF(AND(Table_BDD[[#This Row],[Points]]&gt;=-1.5,Table_BDD[[#This Row],[Points]]&lt;1.5),"0",IF(AND(Table_BDD[[#This Row],[Points]]&gt;=1.5,Table_BDD[[#This Row],[Points]]&lt;=70),"+",IF(Table_BDD[[#This Row],[Points]]&gt;70,"++"))))))</f>
        <v>--</v>
      </c>
      <c r="BH74" s="37" t="str">
        <f>IF(Table_BDD[[#This Row],[Position]]="","",IF(Table_BDD[[#This Row],[Points]]&gt;0,"Gagnant",IF(Table_BDD[[#This Row],[Points]]=0,"Flat","Perdant")))</f>
        <v>Perdant</v>
      </c>
      <c r="BI74" s="40">
        <f>IF(Table_BDD[[#This Row],[Position]]="","",IF(Table_BDD[[#This Row],[Résultat]]="Gagnant",1,0))</f>
        <v>0</v>
      </c>
      <c r="BJ74" s="40">
        <f>IF(Table_BDD[[#This Row],[Position]]="","",IF(Table_BDD[[#This Row],[Résultat]]="Perdant",1,0))</f>
        <v>1</v>
      </c>
      <c r="BK74" s="40"/>
      <c r="BL74" s="145">
        <f>IF(Table_BDD[[#This Row],[T / P]]="","",Table_BDD[[#This Row],[T / P]])</f>
        <v>29054.9</v>
      </c>
      <c r="BM74" s="147"/>
      <c r="BN74" s="147"/>
      <c r="BO74" s="147"/>
      <c r="BP74" s="147"/>
      <c r="BQ74" s="127"/>
    </row>
    <row r="75" spans="1:69" x14ac:dyDescent="0.2">
      <c r="A75" s="93">
        <v>43871.692812499998</v>
      </c>
      <c r="B75" s="94">
        <v>259696313</v>
      </c>
      <c r="C75" s="37" t="s">
        <v>8</v>
      </c>
      <c r="D75" s="37" t="s">
        <v>10</v>
      </c>
      <c r="E75" s="37">
        <v>0.5</v>
      </c>
      <c r="F75" s="95">
        <v>29206.86</v>
      </c>
      <c r="G75" s="95">
        <v>29216.400000000001</v>
      </c>
      <c r="H75" s="95">
        <v>29056.400000000001</v>
      </c>
      <c r="I75" s="93">
        <v>43871.693495370368</v>
      </c>
      <c r="J75" s="95">
        <v>29216.98</v>
      </c>
      <c r="K75" s="95">
        <v>0</v>
      </c>
      <c r="L75" s="95">
        <v>0</v>
      </c>
      <c r="M75" s="32">
        <v>-4.63</v>
      </c>
      <c r="N75" s="148">
        <f>IF(Table_BDD[[#This Row],[Position]]="","",ROW()-3)</f>
        <v>72</v>
      </c>
      <c r="O75" s="32">
        <f>SUM($L$4:M75)</f>
        <v>7.1500000000000297</v>
      </c>
      <c r="P75" s="32">
        <f>Table_BDD[[#This Row],[Equité avant trade]]+Table_BDD[[#This Row],[Profit]]+Table_BDD[[#This Row],[Echange]]</f>
        <v>1007.15</v>
      </c>
      <c r="Q75" s="52">
        <f>INT(Table_BDD[[#This Row],[Horodatage cloture]])</f>
        <v>43871</v>
      </c>
      <c r="R75" s="34">
        <f>WEEKNUM(Table_BDD[[#This Row],[Horodatage cloture]],2)</f>
        <v>7</v>
      </c>
      <c r="S75" s="61">
        <f>WEEKDAY(Table_BDD[[#This Row],[Horodatage cloture]])</f>
        <v>2</v>
      </c>
      <c r="T75" s="63">
        <f>HOUR(Table_BDD[[#This Row],[Horodatage cloture]])</f>
        <v>16</v>
      </c>
      <c r="U75" s="68">
        <f>IF(Table_BDD[[#This Row],[Position]]="","",IF(Table_BDD[[#This Row],[Valeur début de journée unique]]&lt;&gt;0,1,0))</f>
        <v>0</v>
      </c>
      <c r="V75" s="68" t="str">
        <f>IF(Table_BDD[[#This Row],[Nb de séance de trading]]=1,COUNTIF(Table_BDD[Date],Table_BDD[[#This Row],[Date]]),"")</f>
        <v/>
      </c>
      <c r="W75" s="33">
        <f>IF(Table_BDD[[#This Row],[Position]]="","",IF(Table_BDD[[#This Row],[Type]]="buy",ROUND(Table_BDD[[#This Row],[Lvl Entrée]]-Table_BDD[[#This Row],[S / L]],1),ROUND(Table_BDD[[#This Row],[S / L]]-Table_BDD[[#This Row],[Lvl Entrée]],1)))</f>
        <v>9.5</v>
      </c>
      <c r="X75" s="33">
        <f>IF(Table_BDD[[#This Row],[Position]]="","",IF(Table_BDD[[#This Row],[T / P]]=0,200,IF(Table_BDD[[#This Row],[Type]]="buy",ROUND(Table_BDD[[#This Row],[T / P]]-Table_BDD[[#This Row],[Lvl Entrée]],1),ROUND(Table_BDD[[#This Row],[Lvl Entrée]]-Table_BDD[[#This Row],[T / P]],1))))</f>
        <v>150.5</v>
      </c>
      <c r="Y75" s="34">
        <f>IF(Table_BDD[[#This Row],[Position]]="","",IF(Table_BDD[[#This Row],[Ecart du SL]]&gt;0,ROUND(ABS(Table_BDD[[#This Row],[Ecart du TP]])/ABS(Table_BDD[[#This Row],[Ecart du SL]]),1),ROUND(ABS(Table_BDD[[#This Row],[Ecart du TP]])/10,1)))</f>
        <v>15.8</v>
      </c>
      <c r="Z75" s="34">
        <f>IF(Table_BDD[[#This Row],[Position]]="","",IF(Table_BDD[[#This Row],[Ecart du SL]]&lt;0,IF(AND(Table_BDD[[#This Row],[Profit]]&gt;0,Table_BDD[[#This Row],[Type]]="sell"),ROUND((Table_BDD[[#This Row],[Lvl Entrée]]-Table_BDD[[#This Row],[Lvl Sortie]])/(10),1),IF(AND(Table_BDD[[#This Row],[Profit]]&gt;0,Table_BDD[[#This Row],[Type]]="buy"),ROUND((Table_BDD[[#This Row],[Lvl Sortie]]-Table_BDD[[#This Row],[Lvl Entrée]])/(10),1),)),IF(AND(Table_BDD[[#This Row],[Profit]]&gt;0,Table_BDD[[#This Row],[Type]]="sell"),ROUND((Table_BDD[[#This Row],[Lvl Entrée]]-Table_BDD[[#This Row],[Lvl Sortie]])/(Table_BDD[[#This Row],[S / L]]-Table_BDD[[#This Row],[Lvl Entrée]]),1),IF(AND(Table_BDD[[#This Row],[Profit]]&gt;0,Table_BDD[[#This Row],[Type]]="buy"),ROUND((Table_BDD[[#This Row],[Lvl Sortie]]-Table_BDD[[#This Row],[Lvl Entrée]])/(Table_BDD[[#This Row],[Lvl Entrée]]-Table_BDD[[#This Row],[S / L]]),1),ROUND(Table_BDD[[#This Row],[Points]]/10,1)))))</f>
        <v>-1</v>
      </c>
      <c r="AA75" s="32">
        <f>IF(Table_BDD[[#This Row],[Position]]="",AA74,Table_BDD[[#This Row],[Equité après trade]]-Table_BDD[[#This Row],[Profit]]-Table_BDD[[#This Row],[Echange]])</f>
        <v>1011.78</v>
      </c>
      <c r="AB75" s="149">
        <f>$B$1+SUM($L$4:M75)</f>
        <v>1007.15</v>
      </c>
      <c r="AC75" s="150">
        <f>IF(Table_BDD[[#This Row],[Position]]="","",_xlfn.MINIFS(Table_BDD[Horodatage ouverture],Table_BDD[Date],Table_BDD[Date]))</f>
        <v>43871.627708333333</v>
      </c>
      <c r="AD75" s="149">
        <f>VLOOKUP(_xlfn.MINIFS(Table_BDD[Horodatage ouverture],Table_BDD[Date],Table_BDD[Date]),Table_BDD[[Horodatage ouverture]:[Heure derniere valeur]],AA$2)</f>
        <v>1047.8899999999999</v>
      </c>
      <c r="AE75" s="149">
        <f>IF(VLOOKUP(_xlfn.MINIFS(Table_BDD[Horodatage ouverture],Table_BDD[Date],Table_BDD[Date]),Table_BDD[[Horodatage ouverture]:[Heure derniere valeur]],AA$2)=Table_BDD[[#This Row],[Equité avant trade]],VLOOKUP(_xlfn.MINIFS(Table_BDD[Horodatage ouverture],Table_BDD[Date],Table_BDD[Date]),Table_BDD[[Horodatage ouverture]:[Heure derniere valeur]],AA$2),0)</f>
        <v>0</v>
      </c>
      <c r="AF75" s="150">
        <f>IF(Table_BDD[[#This Row],[Position]]="","",_xlfn.MAXIFS(Table_BDD[Horodatage ouverture],Table_BDD[Date],Table_BDD[Date]))</f>
        <v>43871.914259259262</v>
      </c>
      <c r="AG75" s="32">
        <f>VLOOKUP(_xlfn.MAXIFS(Table_BDD[Horodatage cloture],Table_BDD[Date],Table_BDD[Date]),Table_BDD[[Horodatage ouverture]:[Heure derniere valeur]],AB$2)</f>
        <v>984.33</v>
      </c>
      <c r="AH75" s="32">
        <f>IF(VLOOKUP(_xlfn.MAXIFS(Table_BDD[Horodatage cloture],Table_BDD[Date],Table_BDD[Date]),Table_BDD[[Horodatage ouverture]:[Heure derniere valeur]],AB$2)=Table_BDD[[#This Row],[Equité après trade]],VLOOKUP(_xlfn.MAXIFS(Table_BDD[Horodatage cloture],Table_BDD[Date],Table_BDD[Date]),Table_BDD[[Horodatage ouverture]:[Heure derniere valeur]],AB$2),0)</f>
        <v>0</v>
      </c>
      <c r="AI75" s="32" t="e">
        <f>IF(Table_BDD[[#This Row],[Valeur fin de journée unique]]=0,#N/A,Table_BDD[[#This Row],[Valeur fin de journée unique]])</f>
        <v>#N/A</v>
      </c>
      <c r="AJ75" s="35">
        <f>IF(Table_BDD[[#This Row],[Position]]="","",(Table_BDD[[#This Row],[Equité après trade]]-Table_BDD[[#This Row],[Equité avant trade]])/Table_BDD[[#This Row],[Equité avant trade]])</f>
        <v>-4.5760936171895033E-3</v>
      </c>
      <c r="AK75" s="35" t="str">
        <f>IFERROR(((INDEX(Table_BDD[[Trade n°]:[Valeur fin de journée unique]],Table_BDD[[#This Row],[Nb de trade du jour]]+Table_BDD[[#This Row],[Trade n°]]-1,21))-Table_BDD[[#This Row],[Valeur début de journée unique]])/Table_BDD[[#This Row],[Valeur début de journée unique]],"")</f>
        <v/>
      </c>
      <c r="AL75" s="32">
        <f>IF(Table_BDD[[#This Row],[Position]]="","",MAX(Table_BDD[[#This Row],[Cumul équité]],AL74))</f>
        <v>1052.8399999999999</v>
      </c>
      <c r="AM75" s="32">
        <f>IF(Table_BDD[[#This Row],[Position]]="","",MIN(Table_BDD[[#This Row],[Cumul équité]],AL74))</f>
        <v>1007.15</v>
      </c>
      <c r="AN75" s="97">
        <f>IF(Table_BDD[[#This Row],[Sommet Drawdown]]&gt;AL74,"",Table_BDD[[#This Row],[Creux Drawdown]]/Table_BDD[[#This Row],[Sommet Drawdown]]-1)</f>
        <v>-4.3396907412332264E-2</v>
      </c>
      <c r="AO75" s="36">
        <f>IF(Table_BDD[[#This Row],[Position]]="","",IF(Table_BDD[[#This Row],[Type]]="buy",ROUND(Table_BDD[[#This Row],[Lvl Sortie]]-Table_BDD[[#This Row],[Lvl Entrée]],1),ROUND(Table_BDD[[#This Row],[Lvl Entrée]]-Table_BDD[[#This Row],[Lvl Sortie]],1)))</f>
        <v>-10.1</v>
      </c>
      <c r="AP75" s="36" t="str">
        <f>IF(Table_BDD[[#This Row],[Points]]&gt;0,Table_BDD[[#This Row],[Points]],"")</f>
        <v/>
      </c>
      <c r="AQ75" s="36">
        <f>IF(Table_BDD[[#This Row],[Points]]&lt;0,Table_BDD[[#This Row],[Points]],"")</f>
        <v>-10.1</v>
      </c>
      <c r="AR75" s="36">
        <f>SUM($AO$4:AO75)</f>
        <v>15.80000000000001</v>
      </c>
      <c r="AS75" s="68">
        <f>IF(Table_BDD[[#This Row],[Position]]="","",IF(Table_BDD[[#This Row],[Conformité]]="Conforme",1,0))</f>
        <v>0</v>
      </c>
      <c r="AT75" s="68">
        <f>IF(Table_BDD[[#This Row],[Position]]="","",IF(Table_BDD[[#This Row],[Conformité]]="Non conforme",1,0))</f>
        <v>1</v>
      </c>
      <c r="AU75" s="37" t="s">
        <v>17</v>
      </c>
      <c r="AV75" s="37"/>
      <c r="AW75" s="37"/>
      <c r="AX75" s="37">
        <v>0</v>
      </c>
      <c r="AY75" s="37">
        <v>0</v>
      </c>
      <c r="AZ75" s="37">
        <v>0</v>
      </c>
      <c r="BA75" s="40" t="str">
        <f>IF(Table_BDD[[#This Row],[Position]]="","Sans objet",IF(AND(Table_BDD[[#This Row],[Type]]="sell",Table_BDD[[#This Row],[S / L]]&lt;Table_BDD[[#This Row],[Lvl Entrée]],Table_BDD[[#This Row],[Lvl Sortie]]&lt;=Table_BDD[[#This Row],[S / L]]+2,Table_BDD[[#This Row],[Lvl Sortie]]&lt;Table_BDD[[#This Row],[Lvl Entrée]]-19),"Oui",IF(AND(Table_BDD[[#This Row],[Type]]="buy",Table_BDD[[#This Row],[S / L]]&gt;Table_BDD[[#This Row],[Lvl Entrée]],Table_BDD[[#This Row],[Lvl Sortie]]&gt;=Table_BDD[[#This Row],[S / L]]-2,Table_BDD[[#This Row],[S / L]]&gt;Table_BDD[[#This Row],[Lvl Entrée]]+19),"Oui","Non")))</f>
        <v>Non</v>
      </c>
      <c r="BB75" s="40" t="str">
        <f>IF(Table_BDD[[#This Row],[Position]]="","Sans objet",IF(AND(Table_BDD[[#This Row],[Type]]="sell",Table_BDD[[#This Row],[S / L]]&lt;Table_BDD[[#This Row],[Lvl Entrée]],Table_BDD[[#This Row],[Points]]&gt;=-1),"Oui",IF(AND(Table_BDD[[#This Row],[Type]]="sell",Table_BDD[[#This Row],[S / L]]&gt;Table_BDD[[#This Row],[Lvl Entrée]]),"Non",IF(AND(Table_BDD[[#This Row],[Type]]="buy",Table_BDD[[#This Row],[S / L]]&lt;Table_BDD[[#This Row],[Lvl Entrée]]),"Non",IF(AND(Table_BDD[[#This Row],[Type]]="buy",Table_BDD[[#This Row],[S / L]]&gt;Table_BDD[[#This Row],[Lvl Entrée]],Table_BDD[[#This Row],[Points]]&gt;=-1),"Oui")))))</f>
        <v>Non</v>
      </c>
      <c r="BC75" s="40" t="s">
        <v>30</v>
      </c>
      <c r="BD75" s="91">
        <f t="array" ref="BD75">IFERROR(INDEX(downloadFile[#All],MATCH(Table_BDD[[#This Row],[Date]],downloadFile[[#All],[Column1]],0),2),BD74)</f>
        <v>1.0951</v>
      </c>
      <c r="BE75" s="89">
        <f>IF(Table_BDD[[#This Row],[Position]]="","",IF(Table_BDD[[#This Row],[Symbole]]="UsaInd",(Table_BDD[[#This Row],[Volume]]*Table_BDD[[#This Row],[Lvl Entrée]])/(Table_BDD[[#This Row],[Equité avant trade]]*Table_BDD[[#This Row],[EUR/USD]]),IF(Table_BDD[[#This Row],[Symbole]]="Ger30",(Table_BDD[[#This Row],[Volume]]*Table_BDD[[#This Row],[Lvl Entrée]])/Table_BDD[[#This Row],[Equité avant trade]],)))</f>
        <v>13.179987667837029</v>
      </c>
      <c r="BF75" s="38">
        <f>IF(Table_BDD[[#This Row],[Position]]="","",IF(Table_BDD[[#This Row],[Conformité]]="Non conforme",0,(MROUND(3*((Table_BDD[[#This Row],[Conviction]]+Table_BDD[[#This Row],[Timing]]+Table_BDD[[#This Row],[Sortie]])+1)-2,1))))</f>
        <v>0</v>
      </c>
      <c r="BG75" s="38" t="str">
        <f>IF(Table_BDD[[#This Row],[Position]]="","",IF(Table_BDD[[#This Row],[Points]]&lt;-5,"--",IF(AND(Table_BDD[[#This Row],[Points]]&gt;=-5,Table_BDD[[#This Row],[Points]]&lt;-1.5),"-",IF(AND(Table_BDD[[#This Row],[Points]]&gt;=-1.5,Table_BDD[[#This Row],[Points]]&lt;1.5),"0",IF(AND(Table_BDD[[#This Row],[Points]]&gt;=1.5,Table_BDD[[#This Row],[Points]]&lt;=70),"+",IF(Table_BDD[[#This Row],[Points]]&gt;70,"++"))))))</f>
        <v>--</v>
      </c>
      <c r="BH75" s="37" t="str">
        <f>IF(Table_BDD[[#This Row],[Position]]="","",IF(Table_BDD[[#This Row],[Points]]&gt;0,"Gagnant",IF(Table_BDD[[#This Row],[Points]]=0,"Flat","Perdant")))</f>
        <v>Perdant</v>
      </c>
      <c r="BI75" s="40">
        <f>IF(Table_BDD[[#This Row],[Position]]="","",IF(Table_BDD[[#This Row],[Résultat]]="Gagnant",1,0))</f>
        <v>0</v>
      </c>
      <c r="BJ75" s="40">
        <f>IF(Table_BDD[[#This Row],[Position]]="","",IF(Table_BDD[[#This Row],[Résultat]]="Perdant",1,0))</f>
        <v>1</v>
      </c>
      <c r="BK75" s="40"/>
      <c r="BL75" s="145">
        <f>IF(Table_BDD[[#This Row],[T / P]]="","",Table_BDD[[#This Row],[T / P]])</f>
        <v>29056.400000000001</v>
      </c>
      <c r="BM75" s="147"/>
      <c r="BN75" s="147"/>
      <c r="BO75" s="147"/>
      <c r="BP75" s="147"/>
      <c r="BQ75" s="127"/>
    </row>
    <row r="76" spans="1:69" x14ac:dyDescent="0.2">
      <c r="A76" s="93">
        <v>43871.700902777775</v>
      </c>
      <c r="B76" s="94">
        <v>259697827</v>
      </c>
      <c r="C76" s="37" t="s">
        <v>8</v>
      </c>
      <c r="D76" s="37" t="s">
        <v>10</v>
      </c>
      <c r="E76" s="37">
        <v>0.5</v>
      </c>
      <c r="F76" s="95">
        <v>29225.93</v>
      </c>
      <c r="G76" s="95">
        <v>29235.93</v>
      </c>
      <c r="H76" s="95">
        <v>29102.74</v>
      </c>
      <c r="I76" s="93">
        <v>43871.883113425924</v>
      </c>
      <c r="J76" s="95">
        <v>29236.240000000002</v>
      </c>
      <c r="K76" s="95">
        <v>0</v>
      </c>
      <c r="L76" s="95">
        <v>0</v>
      </c>
      <c r="M76" s="32">
        <v>-4.7300000000000004</v>
      </c>
      <c r="N76" s="148">
        <f>IF(Table_BDD[[#This Row],[Position]]="","",ROW()-3)</f>
        <v>73</v>
      </c>
      <c r="O76" s="32">
        <f>SUM($L$4:M76)</f>
        <v>2.4200000000000292</v>
      </c>
      <c r="P76" s="32">
        <f>Table_BDD[[#This Row],[Equité avant trade]]+Table_BDD[[#This Row],[Profit]]+Table_BDD[[#This Row],[Echange]]</f>
        <v>1002.4200000000001</v>
      </c>
      <c r="Q76" s="52">
        <f>INT(Table_BDD[[#This Row],[Horodatage cloture]])</f>
        <v>43871</v>
      </c>
      <c r="R76" s="34">
        <f>WEEKNUM(Table_BDD[[#This Row],[Horodatage cloture]],2)</f>
        <v>7</v>
      </c>
      <c r="S76" s="61">
        <f>WEEKDAY(Table_BDD[[#This Row],[Horodatage cloture]])</f>
        <v>2</v>
      </c>
      <c r="T76" s="63">
        <f>HOUR(Table_BDD[[#This Row],[Horodatage cloture]])</f>
        <v>21</v>
      </c>
      <c r="U76" s="68">
        <f>IF(Table_BDD[[#This Row],[Position]]="","",IF(Table_BDD[[#This Row],[Valeur début de journée unique]]&lt;&gt;0,1,0))</f>
        <v>0</v>
      </c>
      <c r="V76" s="68" t="str">
        <f>IF(Table_BDD[[#This Row],[Nb de séance de trading]]=1,COUNTIF(Table_BDD[Date],Table_BDD[[#This Row],[Date]]),"")</f>
        <v/>
      </c>
      <c r="W76" s="33">
        <f>IF(Table_BDD[[#This Row],[Position]]="","",IF(Table_BDD[[#This Row],[Type]]="buy",ROUND(Table_BDD[[#This Row],[Lvl Entrée]]-Table_BDD[[#This Row],[S / L]],1),ROUND(Table_BDD[[#This Row],[S / L]]-Table_BDD[[#This Row],[Lvl Entrée]],1)))</f>
        <v>10</v>
      </c>
      <c r="X76" s="33">
        <f>IF(Table_BDD[[#This Row],[Position]]="","",IF(Table_BDD[[#This Row],[T / P]]=0,200,IF(Table_BDD[[#This Row],[Type]]="buy",ROUND(Table_BDD[[#This Row],[T / P]]-Table_BDD[[#This Row],[Lvl Entrée]],1),ROUND(Table_BDD[[#This Row],[Lvl Entrée]]-Table_BDD[[#This Row],[T / P]],1))))</f>
        <v>123.2</v>
      </c>
      <c r="Y76" s="34">
        <f>IF(Table_BDD[[#This Row],[Position]]="","",IF(Table_BDD[[#This Row],[Ecart du SL]]&gt;0,ROUND(ABS(Table_BDD[[#This Row],[Ecart du TP]])/ABS(Table_BDD[[#This Row],[Ecart du SL]]),1),ROUND(ABS(Table_BDD[[#This Row],[Ecart du TP]])/10,1)))</f>
        <v>12.3</v>
      </c>
      <c r="Z76" s="34">
        <f>IF(Table_BDD[[#This Row],[Position]]="","",IF(Table_BDD[[#This Row],[Ecart du SL]]&lt;0,IF(AND(Table_BDD[[#This Row],[Profit]]&gt;0,Table_BDD[[#This Row],[Type]]="sell"),ROUND((Table_BDD[[#This Row],[Lvl Entrée]]-Table_BDD[[#This Row],[Lvl Sortie]])/(10),1),IF(AND(Table_BDD[[#This Row],[Profit]]&gt;0,Table_BDD[[#This Row],[Type]]="buy"),ROUND((Table_BDD[[#This Row],[Lvl Sortie]]-Table_BDD[[#This Row],[Lvl Entrée]])/(10),1),)),IF(AND(Table_BDD[[#This Row],[Profit]]&gt;0,Table_BDD[[#This Row],[Type]]="sell"),ROUND((Table_BDD[[#This Row],[Lvl Entrée]]-Table_BDD[[#This Row],[Lvl Sortie]])/(Table_BDD[[#This Row],[S / L]]-Table_BDD[[#This Row],[Lvl Entrée]]),1),IF(AND(Table_BDD[[#This Row],[Profit]]&gt;0,Table_BDD[[#This Row],[Type]]="buy"),ROUND((Table_BDD[[#This Row],[Lvl Sortie]]-Table_BDD[[#This Row],[Lvl Entrée]])/(Table_BDD[[#This Row],[Lvl Entrée]]-Table_BDD[[#This Row],[S / L]]),1),ROUND(Table_BDD[[#This Row],[Points]]/10,1)))))</f>
        <v>-1</v>
      </c>
      <c r="AA76" s="32">
        <f>IF(Table_BDD[[#This Row],[Position]]="",AA75,Table_BDD[[#This Row],[Equité après trade]]-Table_BDD[[#This Row],[Profit]]-Table_BDD[[#This Row],[Echange]])</f>
        <v>1007.1500000000001</v>
      </c>
      <c r="AB76" s="149">
        <f>$B$1+SUM($L$4:M76)</f>
        <v>1002.4200000000001</v>
      </c>
      <c r="AC76" s="150">
        <f>IF(Table_BDD[[#This Row],[Position]]="","",_xlfn.MINIFS(Table_BDD[Horodatage ouverture],Table_BDD[Date],Table_BDD[Date]))</f>
        <v>43871.627708333333</v>
      </c>
      <c r="AD76" s="149">
        <f>VLOOKUP(_xlfn.MINIFS(Table_BDD[Horodatage ouverture],Table_BDD[Date],Table_BDD[Date]),Table_BDD[[Horodatage ouverture]:[Heure derniere valeur]],AA$2)</f>
        <v>1047.8899999999999</v>
      </c>
      <c r="AE76" s="149">
        <f>IF(VLOOKUP(_xlfn.MINIFS(Table_BDD[Horodatage ouverture],Table_BDD[Date],Table_BDD[Date]),Table_BDD[[Horodatage ouverture]:[Heure derniere valeur]],AA$2)=Table_BDD[[#This Row],[Equité avant trade]],VLOOKUP(_xlfn.MINIFS(Table_BDD[Horodatage ouverture],Table_BDD[Date],Table_BDD[Date]),Table_BDD[[Horodatage ouverture]:[Heure derniere valeur]],AA$2),0)</f>
        <v>0</v>
      </c>
      <c r="AF76" s="150">
        <f>IF(Table_BDD[[#This Row],[Position]]="","",_xlfn.MAXIFS(Table_BDD[Horodatage ouverture],Table_BDD[Date],Table_BDD[Date]))</f>
        <v>43871.914259259262</v>
      </c>
      <c r="AG76" s="32">
        <f>VLOOKUP(_xlfn.MAXIFS(Table_BDD[Horodatage cloture],Table_BDD[Date],Table_BDD[Date]),Table_BDD[[Horodatage ouverture]:[Heure derniere valeur]],AB$2)</f>
        <v>984.33</v>
      </c>
      <c r="AH76" s="32">
        <f>IF(VLOOKUP(_xlfn.MAXIFS(Table_BDD[Horodatage cloture],Table_BDD[Date],Table_BDD[Date]),Table_BDD[[Horodatage ouverture]:[Heure derniere valeur]],AB$2)=Table_BDD[[#This Row],[Equité après trade]],VLOOKUP(_xlfn.MAXIFS(Table_BDD[Horodatage cloture],Table_BDD[Date],Table_BDD[Date]),Table_BDD[[Horodatage ouverture]:[Heure derniere valeur]],AB$2),0)</f>
        <v>0</v>
      </c>
      <c r="AI76" s="32" t="e">
        <f>IF(Table_BDD[[#This Row],[Valeur fin de journée unique]]=0,#N/A,Table_BDD[[#This Row],[Valeur fin de journée unique]])</f>
        <v>#N/A</v>
      </c>
      <c r="AJ76" s="35">
        <f>IF(Table_BDD[[#This Row],[Position]]="","",(Table_BDD[[#This Row],[Equité après trade]]-Table_BDD[[#This Row],[Equité avant trade]])/Table_BDD[[#This Row],[Equité avant trade]])</f>
        <v>-4.6964205927617709E-3</v>
      </c>
      <c r="AK76" s="35" t="str">
        <f>IFERROR(((INDEX(Table_BDD[[Trade n°]:[Valeur fin de journée unique]],Table_BDD[[#This Row],[Nb de trade du jour]]+Table_BDD[[#This Row],[Trade n°]]-1,21))-Table_BDD[[#This Row],[Valeur début de journée unique]])/Table_BDD[[#This Row],[Valeur début de journée unique]],"")</f>
        <v/>
      </c>
      <c r="AL76" s="32">
        <f>IF(Table_BDD[[#This Row],[Position]]="","",MAX(Table_BDD[[#This Row],[Cumul équité]],AL75))</f>
        <v>1052.8399999999999</v>
      </c>
      <c r="AM76" s="32">
        <f>IF(Table_BDD[[#This Row],[Position]]="","",MIN(Table_BDD[[#This Row],[Cumul équité]],AL75))</f>
        <v>1002.4200000000001</v>
      </c>
      <c r="AN76" s="97">
        <f>IF(Table_BDD[[#This Row],[Sommet Drawdown]]&gt;AL75,"",Table_BDD[[#This Row],[Creux Drawdown]]/Table_BDD[[#This Row],[Sommet Drawdown]]-1)</f>
        <v>-4.7889517875460474E-2</v>
      </c>
      <c r="AO76" s="36">
        <f>IF(Table_BDD[[#This Row],[Position]]="","",IF(Table_BDD[[#This Row],[Type]]="buy",ROUND(Table_BDD[[#This Row],[Lvl Sortie]]-Table_BDD[[#This Row],[Lvl Entrée]],1),ROUND(Table_BDD[[#This Row],[Lvl Entrée]]-Table_BDD[[#This Row],[Lvl Sortie]],1)))</f>
        <v>-10.3</v>
      </c>
      <c r="AP76" s="36" t="str">
        <f>IF(Table_BDD[[#This Row],[Points]]&gt;0,Table_BDD[[#This Row],[Points]],"")</f>
        <v/>
      </c>
      <c r="AQ76" s="36">
        <f>IF(Table_BDD[[#This Row],[Points]]&lt;0,Table_BDD[[#This Row],[Points]],"")</f>
        <v>-10.3</v>
      </c>
      <c r="AR76" s="36">
        <f>SUM($AO$4:AO76)</f>
        <v>5.5000000000000089</v>
      </c>
      <c r="AS76" s="68">
        <f>IF(Table_BDD[[#This Row],[Position]]="","",IF(Table_BDD[[#This Row],[Conformité]]="Conforme",1,0))</f>
        <v>0</v>
      </c>
      <c r="AT76" s="68">
        <f>IF(Table_BDD[[#This Row],[Position]]="","",IF(Table_BDD[[#This Row],[Conformité]]="Non conforme",1,0))</f>
        <v>1</v>
      </c>
      <c r="AU76" s="37" t="s">
        <v>17</v>
      </c>
      <c r="AV76" s="37"/>
      <c r="AW76" s="37"/>
      <c r="AX76" s="37">
        <v>0</v>
      </c>
      <c r="AY76" s="37">
        <v>0</v>
      </c>
      <c r="AZ76" s="37">
        <v>0</v>
      </c>
      <c r="BA76" s="40" t="str">
        <f>IF(Table_BDD[[#This Row],[Position]]="","Sans objet",IF(AND(Table_BDD[[#This Row],[Type]]="sell",Table_BDD[[#This Row],[S / L]]&lt;Table_BDD[[#This Row],[Lvl Entrée]],Table_BDD[[#This Row],[Lvl Sortie]]&lt;=Table_BDD[[#This Row],[S / L]]+2,Table_BDD[[#This Row],[Lvl Sortie]]&lt;Table_BDD[[#This Row],[Lvl Entrée]]-19),"Oui",IF(AND(Table_BDD[[#This Row],[Type]]="buy",Table_BDD[[#This Row],[S / L]]&gt;Table_BDD[[#This Row],[Lvl Entrée]],Table_BDD[[#This Row],[Lvl Sortie]]&gt;=Table_BDD[[#This Row],[S / L]]-2,Table_BDD[[#This Row],[S / L]]&gt;Table_BDD[[#This Row],[Lvl Entrée]]+19),"Oui","Non")))</f>
        <v>Non</v>
      </c>
      <c r="BB76" s="40" t="str">
        <f>IF(Table_BDD[[#This Row],[Position]]="","Sans objet",IF(AND(Table_BDD[[#This Row],[Type]]="sell",Table_BDD[[#This Row],[S / L]]&lt;Table_BDD[[#This Row],[Lvl Entrée]],Table_BDD[[#This Row],[Points]]&gt;=-1),"Oui",IF(AND(Table_BDD[[#This Row],[Type]]="sell",Table_BDD[[#This Row],[S / L]]&gt;Table_BDD[[#This Row],[Lvl Entrée]]),"Non",IF(AND(Table_BDD[[#This Row],[Type]]="buy",Table_BDD[[#This Row],[S / L]]&lt;Table_BDD[[#This Row],[Lvl Entrée]]),"Non",IF(AND(Table_BDD[[#This Row],[Type]]="buy",Table_BDD[[#This Row],[S / L]]&gt;Table_BDD[[#This Row],[Lvl Entrée]],Table_BDD[[#This Row],[Points]]&gt;=-1),"Oui")))))</f>
        <v>Non</v>
      </c>
      <c r="BC76" s="40" t="str">
        <f>IF(Table_BDD[[#This Row],[Position]]="","Sans objet",IF(Table_BDD[[#This Row],[T / P]]="","Non",IF(AND(Table_BDD[[#This Row],[Type]]="sell",Table_BDD[[#This Row],[Lvl Sortie]]&lt;=Table_BDD[[#This Row],[T / P]]),"Oui",IF(AND(Table_BDD[[#This Row],[Type]]="buy",Table_BDD[[#This Row],[Lvl Sortie]]&gt;=Table_BDD[[#This Row],[T / P]]),"Oui","Non"))))</f>
        <v>Non</v>
      </c>
      <c r="BD76" s="91">
        <f t="array" ref="BD76">IFERROR(INDEX(downloadFile[#All],MATCH(Table_BDD[[#This Row],[Date]],downloadFile[[#All],[Column1]],0),2),BD75)</f>
        <v>1.0951</v>
      </c>
      <c r="BE76" s="89">
        <f>IF(Table_BDD[[#This Row],[Position]]="","",IF(Table_BDD[[#This Row],[Symbole]]="UsaInd",(Table_BDD[[#This Row],[Volume]]*Table_BDD[[#This Row],[Lvl Entrée]])/(Table_BDD[[#This Row],[Equité avant trade]]*Table_BDD[[#This Row],[EUR/USD]]),IF(Table_BDD[[#This Row],[Symbole]]="Ger30",(Table_BDD[[#This Row],[Volume]]*Table_BDD[[#This Row],[Lvl Entrée]])/Table_BDD[[#This Row],[Equité avant trade]],)))</f>
        <v>13.249222945901193</v>
      </c>
      <c r="BF76" s="38">
        <f>IF(Table_BDD[[#This Row],[Position]]="","",IF(Table_BDD[[#This Row],[Conformité]]="Non conforme",0,(MROUND(3*((Table_BDD[[#This Row],[Conviction]]+Table_BDD[[#This Row],[Timing]]+Table_BDD[[#This Row],[Sortie]])+1)-2,1))))</f>
        <v>0</v>
      </c>
      <c r="BG76" s="38" t="str">
        <f>IF(Table_BDD[[#This Row],[Position]]="","",IF(Table_BDD[[#This Row],[Points]]&lt;-5,"--",IF(AND(Table_BDD[[#This Row],[Points]]&gt;=-5,Table_BDD[[#This Row],[Points]]&lt;-1.5),"-",IF(AND(Table_BDD[[#This Row],[Points]]&gt;=-1.5,Table_BDD[[#This Row],[Points]]&lt;1.5),"0",IF(AND(Table_BDD[[#This Row],[Points]]&gt;=1.5,Table_BDD[[#This Row],[Points]]&lt;=70),"+",IF(Table_BDD[[#This Row],[Points]]&gt;70,"++"))))))</f>
        <v>--</v>
      </c>
      <c r="BH76" s="37" t="str">
        <f>IF(Table_BDD[[#This Row],[Position]]="","",IF(Table_BDD[[#This Row],[Points]]&gt;0,"Gagnant",IF(Table_BDD[[#This Row],[Points]]=0,"Flat","Perdant")))</f>
        <v>Perdant</v>
      </c>
      <c r="BI76" s="40">
        <f>IF(Table_BDD[[#This Row],[Position]]="","",IF(Table_BDD[[#This Row],[Résultat]]="Gagnant",1,0))</f>
        <v>0</v>
      </c>
      <c r="BJ76" s="40">
        <f>IF(Table_BDD[[#This Row],[Position]]="","",IF(Table_BDD[[#This Row],[Résultat]]="Perdant",1,0))</f>
        <v>1</v>
      </c>
      <c r="BK76" s="40"/>
      <c r="BL76" s="145">
        <f>IF(Table_BDD[[#This Row],[T / P]]="","",Table_BDD[[#This Row],[T / P]])</f>
        <v>29102.74</v>
      </c>
      <c r="BM76" s="147"/>
      <c r="BN76" s="147"/>
      <c r="BO76" s="147"/>
      <c r="BP76" s="147"/>
      <c r="BQ76" s="127"/>
    </row>
    <row r="77" spans="1:69" x14ac:dyDescent="0.2">
      <c r="A77" s="93">
        <v>43871.89576388889</v>
      </c>
      <c r="B77" s="94">
        <v>259714825</v>
      </c>
      <c r="C77" s="37" t="s">
        <v>8</v>
      </c>
      <c r="D77" s="37" t="s">
        <v>10</v>
      </c>
      <c r="E77" s="37">
        <v>0.5</v>
      </c>
      <c r="F77" s="95">
        <v>29241.23</v>
      </c>
      <c r="G77" s="95">
        <v>29239.73</v>
      </c>
      <c r="H77" s="95">
        <v>29141.23</v>
      </c>
      <c r="I77" s="93">
        <v>43871.909224537034</v>
      </c>
      <c r="J77" s="95">
        <v>29240.18</v>
      </c>
      <c r="K77" s="95">
        <v>0</v>
      </c>
      <c r="L77" s="95">
        <v>0</v>
      </c>
      <c r="M77" s="32">
        <v>0.49</v>
      </c>
      <c r="N77" s="148">
        <f>IF(Table_BDD[[#This Row],[Position]]="","",ROW()-3)</f>
        <v>74</v>
      </c>
      <c r="O77" s="32">
        <f>SUM($L$4:M77)</f>
        <v>2.9100000000000295</v>
      </c>
      <c r="P77" s="32">
        <f>Table_BDD[[#This Row],[Equité avant trade]]+Table_BDD[[#This Row],[Profit]]+Table_BDD[[#This Row],[Echange]]</f>
        <v>1002.9100000000001</v>
      </c>
      <c r="Q77" s="52">
        <f>INT(Table_BDD[[#This Row],[Horodatage cloture]])</f>
        <v>43871</v>
      </c>
      <c r="R77" s="34">
        <f>WEEKNUM(Table_BDD[[#This Row],[Horodatage cloture]],2)</f>
        <v>7</v>
      </c>
      <c r="S77" s="61">
        <f>WEEKDAY(Table_BDD[[#This Row],[Horodatage cloture]])</f>
        <v>2</v>
      </c>
      <c r="T77" s="63">
        <f>HOUR(Table_BDD[[#This Row],[Horodatage cloture]])</f>
        <v>21</v>
      </c>
      <c r="U77" s="68">
        <f>IF(Table_BDD[[#This Row],[Position]]="","",IF(Table_BDD[[#This Row],[Valeur début de journée unique]]&lt;&gt;0,1,0))</f>
        <v>0</v>
      </c>
      <c r="V77" s="68" t="str">
        <f>IF(Table_BDD[[#This Row],[Nb de séance de trading]]=1,COUNTIF(Table_BDD[Date],Table_BDD[[#This Row],[Date]]),"")</f>
        <v/>
      </c>
      <c r="W77" s="33">
        <f>IF(Table_BDD[[#This Row],[Position]]="","",IF(Table_BDD[[#This Row],[Type]]="buy",ROUND(Table_BDD[[#This Row],[Lvl Entrée]]-Table_BDD[[#This Row],[S / L]],1),ROUND(Table_BDD[[#This Row],[S / L]]-Table_BDD[[#This Row],[Lvl Entrée]],1)))</f>
        <v>-1.5</v>
      </c>
      <c r="X77" s="33">
        <f>IF(Table_BDD[[#This Row],[Position]]="","",IF(Table_BDD[[#This Row],[T / P]]=0,200,IF(Table_BDD[[#This Row],[Type]]="buy",ROUND(Table_BDD[[#This Row],[T / P]]-Table_BDD[[#This Row],[Lvl Entrée]],1),ROUND(Table_BDD[[#This Row],[Lvl Entrée]]-Table_BDD[[#This Row],[T / P]],1))))</f>
        <v>100</v>
      </c>
      <c r="Y77" s="34">
        <f>IF(Table_BDD[[#This Row],[Position]]="","",IF(Table_BDD[[#This Row],[Ecart du SL]]&gt;0,ROUND(ABS(Table_BDD[[#This Row],[Ecart du TP]])/ABS(Table_BDD[[#This Row],[Ecart du SL]]),1),ROUND(ABS(Table_BDD[[#This Row],[Ecart du TP]])/10,1)))</f>
        <v>10</v>
      </c>
      <c r="Z77" s="34">
        <f>IF(Table_BDD[[#This Row],[Position]]="","",IF(Table_BDD[[#This Row],[Ecart du SL]]&lt;0,IF(AND(Table_BDD[[#This Row],[Profit]]&gt;0,Table_BDD[[#This Row],[Type]]="sell"),ROUND((Table_BDD[[#This Row],[Lvl Entrée]]-Table_BDD[[#This Row],[Lvl Sortie]])/(10),1),IF(AND(Table_BDD[[#This Row],[Profit]]&gt;0,Table_BDD[[#This Row],[Type]]="buy"),ROUND((Table_BDD[[#This Row],[Lvl Sortie]]-Table_BDD[[#This Row],[Lvl Entrée]])/(10),1),)),IF(AND(Table_BDD[[#This Row],[Profit]]&gt;0,Table_BDD[[#This Row],[Type]]="sell"),ROUND((Table_BDD[[#This Row],[Lvl Entrée]]-Table_BDD[[#This Row],[Lvl Sortie]])/(Table_BDD[[#This Row],[S / L]]-Table_BDD[[#This Row],[Lvl Entrée]]),1),IF(AND(Table_BDD[[#This Row],[Profit]]&gt;0,Table_BDD[[#This Row],[Type]]="buy"),ROUND((Table_BDD[[#This Row],[Lvl Sortie]]-Table_BDD[[#This Row],[Lvl Entrée]])/(Table_BDD[[#This Row],[Lvl Entrée]]-Table_BDD[[#This Row],[S / L]]),1),ROUND(Table_BDD[[#This Row],[Points]]/10,1)))))</f>
        <v>0.1</v>
      </c>
      <c r="AA77" s="32">
        <f>IF(Table_BDD[[#This Row],[Position]]="",AA76,Table_BDD[[#This Row],[Equité après trade]]-Table_BDD[[#This Row],[Profit]]-Table_BDD[[#This Row],[Echange]])</f>
        <v>1002.4200000000001</v>
      </c>
      <c r="AB77" s="149">
        <f>$B$1+SUM($L$4:M77)</f>
        <v>1002.9100000000001</v>
      </c>
      <c r="AC77" s="150">
        <f>IF(Table_BDD[[#This Row],[Position]]="","",_xlfn.MINIFS(Table_BDD[Horodatage ouverture],Table_BDD[Date],Table_BDD[Date]))</f>
        <v>43871.627708333333</v>
      </c>
      <c r="AD77" s="149">
        <f>VLOOKUP(_xlfn.MINIFS(Table_BDD[Horodatage ouverture],Table_BDD[Date],Table_BDD[Date]),Table_BDD[[Horodatage ouverture]:[Heure derniere valeur]],AA$2)</f>
        <v>1047.8899999999999</v>
      </c>
      <c r="AE77" s="149">
        <f>IF(VLOOKUP(_xlfn.MINIFS(Table_BDD[Horodatage ouverture],Table_BDD[Date],Table_BDD[Date]),Table_BDD[[Horodatage ouverture]:[Heure derniere valeur]],AA$2)=Table_BDD[[#This Row],[Equité avant trade]],VLOOKUP(_xlfn.MINIFS(Table_BDD[Horodatage ouverture],Table_BDD[Date],Table_BDD[Date]),Table_BDD[[Horodatage ouverture]:[Heure derniere valeur]],AA$2),0)</f>
        <v>0</v>
      </c>
      <c r="AF77" s="150">
        <f>IF(Table_BDD[[#This Row],[Position]]="","",_xlfn.MAXIFS(Table_BDD[Horodatage ouverture],Table_BDD[Date],Table_BDD[Date]))</f>
        <v>43871.914259259262</v>
      </c>
      <c r="AG77" s="32">
        <f>VLOOKUP(_xlfn.MAXIFS(Table_BDD[Horodatage cloture],Table_BDD[Date],Table_BDD[Date]),Table_BDD[[Horodatage ouverture]:[Heure derniere valeur]],AB$2)</f>
        <v>984.33</v>
      </c>
      <c r="AH77" s="32">
        <f>IF(VLOOKUP(_xlfn.MAXIFS(Table_BDD[Horodatage cloture],Table_BDD[Date],Table_BDD[Date]),Table_BDD[[Horodatage ouverture]:[Heure derniere valeur]],AB$2)=Table_BDD[[#This Row],[Equité après trade]],VLOOKUP(_xlfn.MAXIFS(Table_BDD[Horodatage cloture],Table_BDD[Date],Table_BDD[Date]),Table_BDD[[Horodatage ouverture]:[Heure derniere valeur]],AB$2),0)</f>
        <v>0</v>
      </c>
      <c r="AI77" s="32" t="e">
        <f>IF(Table_BDD[[#This Row],[Valeur fin de journée unique]]=0,#N/A,Table_BDD[[#This Row],[Valeur fin de journée unique]])</f>
        <v>#N/A</v>
      </c>
      <c r="AJ77" s="35">
        <f>IF(Table_BDD[[#This Row],[Position]]="","",(Table_BDD[[#This Row],[Equité après trade]]-Table_BDD[[#This Row],[Equité avant trade]])/Table_BDD[[#This Row],[Equité avant trade]])</f>
        <v>4.8881706270825504E-4</v>
      </c>
      <c r="AK77" s="35" t="str">
        <f>IFERROR(((INDEX(Table_BDD[[Trade n°]:[Valeur fin de journée unique]],Table_BDD[[#This Row],[Nb de trade du jour]]+Table_BDD[[#This Row],[Trade n°]]-1,21))-Table_BDD[[#This Row],[Valeur début de journée unique]])/Table_BDD[[#This Row],[Valeur début de journée unique]],"")</f>
        <v/>
      </c>
      <c r="AL77" s="32">
        <f>IF(Table_BDD[[#This Row],[Position]]="","",MAX(Table_BDD[[#This Row],[Cumul équité]],AL76))</f>
        <v>1052.8399999999999</v>
      </c>
      <c r="AM77" s="32">
        <f>IF(Table_BDD[[#This Row],[Position]]="","",MIN(Table_BDD[[#This Row],[Cumul équité]],AL76))</f>
        <v>1002.9100000000001</v>
      </c>
      <c r="AN77" s="97">
        <f>IF(Table_BDD[[#This Row],[Sommet Drawdown]]&gt;AL76,"",Table_BDD[[#This Row],[Creux Drawdown]]/Table_BDD[[#This Row],[Sommet Drawdown]]-1)</f>
        <v>-4.7424110026214605E-2</v>
      </c>
      <c r="AO77" s="36">
        <f>IF(Table_BDD[[#This Row],[Position]]="","",IF(Table_BDD[[#This Row],[Type]]="buy",ROUND(Table_BDD[[#This Row],[Lvl Sortie]]-Table_BDD[[#This Row],[Lvl Entrée]],1),ROUND(Table_BDD[[#This Row],[Lvl Entrée]]-Table_BDD[[#This Row],[Lvl Sortie]],1)))</f>
        <v>1</v>
      </c>
      <c r="AP77" s="36">
        <f>IF(Table_BDD[[#This Row],[Points]]&gt;0,Table_BDD[[#This Row],[Points]],"")</f>
        <v>1</v>
      </c>
      <c r="AQ77" s="36" t="str">
        <f>IF(Table_BDD[[#This Row],[Points]]&lt;0,Table_BDD[[#This Row],[Points]],"")</f>
        <v/>
      </c>
      <c r="AR77" s="36">
        <f>SUM($AO$4:AO77)</f>
        <v>6.5000000000000089</v>
      </c>
      <c r="AS77" s="68">
        <f>IF(Table_BDD[[#This Row],[Position]]="","",IF(Table_BDD[[#This Row],[Conformité]]="Conforme",1,0))</f>
        <v>0</v>
      </c>
      <c r="AT77" s="68">
        <f>IF(Table_BDD[[#This Row],[Position]]="","",IF(Table_BDD[[#This Row],[Conformité]]="Non conforme",1,0))</f>
        <v>1</v>
      </c>
      <c r="AU77" s="37" t="s">
        <v>17</v>
      </c>
      <c r="AV77" s="37"/>
      <c r="AW77" s="37"/>
      <c r="AX77" s="37">
        <v>0</v>
      </c>
      <c r="AY77" s="37">
        <v>0</v>
      </c>
      <c r="AZ77" s="37">
        <v>0</v>
      </c>
      <c r="BA77" s="40" t="str">
        <f>IF(Table_BDD[[#This Row],[Position]]="","Sans objet",IF(AND(Table_BDD[[#This Row],[Type]]="sell",Table_BDD[[#This Row],[S / L]]&lt;Table_BDD[[#This Row],[Lvl Entrée]],Table_BDD[[#This Row],[Lvl Sortie]]&lt;=Table_BDD[[#This Row],[S / L]]+2,Table_BDD[[#This Row],[Lvl Sortie]]&lt;Table_BDD[[#This Row],[Lvl Entrée]]-19),"Oui",IF(AND(Table_BDD[[#This Row],[Type]]="buy",Table_BDD[[#This Row],[S / L]]&gt;Table_BDD[[#This Row],[Lvl Entrée]],Table_BDD[[#This Row],[Lvl Sortie]]&gt;=Table_BDD[[#This Row],[S / L]]-2,Table_BDD[[#This Row],[S / L]]&gt;Table_BDD[[#This Row],[Lvl Entrée]]+19),"Oui","Non")))</f>
        <v>Non</v>
      </c>
      <c r="BB77" s="40" t="str">
        <f>IF(Table_BDD[[#This Row],[Position]]="","Sans objet",IF(AND(Table_BDD[[#This Row],[Type]]="sell",Table_BDD[[#This Row],[S / L]]&lt;Table_BDD[[#This Row],[Lvl Entrée]],Table_BDD[[#This Row],[Points]]&gt;=-1),"Oui",IF(AND(Table_BDD[[#This Row],[Type]]="sell",Table_BDD[[#This Row],[S / L]]&gt;Table_BDD[[#This Row],[Lvl Entrée]]),"Non",IF(AND(Table_BDD[[#This Row],[Type]]="buy",Table_BDD[[#This Row],[S / L]]&lt;Table_BDD[[#This Row],[Lvl Entrée]]),"Non",IF(AND(Table_BDD[[#This Row],[Type]]="buy",Table_BDD[[#This Row],[S / L]]&gt;Table_BDD[[#This Row],[Lvl Entrée]],Table_BDD[[#This Row],[Points]]&gt;=-1),"Oui")))))</f>
        <v>Oui</v>
      </c>
      <c r="BC77" s="40" t="str">
        <f>IF(Table_BDD[[#This Row],[Position]]="","Sans objet",IF(Table_BDD[[#This Row],[T / P]]="","Non",IF(AND(Table_BDD[[#This Row],[Type]]="sell",Table_BDD[[#This Row],[Lvl Sortie]]&lt;=Table_BDD[[#This Row],[T / P]]),"Oui",IF(AND(Table_BDD[[#This Row],[Type]]="buy",Table_BDD[[#This Row],[Lvl Sortie]]&gt;=Table_BDD[[#This Row],[T / P]]),"Oui","Non"))))</f>
        <v>Non</v>
      </c>
      <c r="BD77" s="91">
        <f t="array" ref="BD77">IFERROR(INDEX(downloadFile[#All],MATCH(Table_BDD[[#This Row],[Date]],downloadFile[[#All],[Column1]],0),2),BD76)</f>
        <v>1.0951</v>
      </c>
      <c r="BE77" s="89">
        <f>IF(Table_BDD[[#This Row],[Position]]="","",IF(Table_BDD[[#This Row],[Symbole]]="UsaInd",(Table_BDD[[#This Row],[Volume]]*Table_BDD[[#This Row],[Lvl Entrée]])/(Table_BDD[[#This Row],[Equité avant trade]]*Table_BDD[[#This Row],[EUR/USD]]),IF(Table_BDD[[#This Row],[Symbole]]="Ger30",(Table_BDD[[#This Row],[Volume]]*Table_BDD[[#This Row],[Lvl Entrée]])/Table_BDD[[#This Row],[Equité avant trade]],)))</f>
        <v>13.318709276923963</v>
      </c>
      <c r="BF77" s="38">
        <f>IF(Table_BDD[[#This Row],[Position]]="","",IF(Table_BDD[[#This Row],[Conformité]]="Non conforme",0,(MROUND(3*((Table_BDD[[#This Row],[Conviction]]+Table_BDD[[#This Row],[Timing]]+Table_BDD[[#This Row],[Sortie]])+1)-2,1))))</f>
        <v>0</v>
      </c>
      <c r="BG77" s="38" t="str">
        <f>IF(Table_BDD[[#This Row],[Position]]="","",IF(Table_BDD[[#This Row],[Points]]&lt;-5,"--",IF(AND(Table_BDD[[#This Row],[Points]]&gt;=-5,Table_BDD[[#This Row],[Points]]&lt;-1.5),"-",IF(AND(Table_BDD[[#This Row],[Points]]&gt;=-1.5,Table_BDD[[#This Row],[Points]]&lt;1.5),"0",IF(AND(Table_BDD[[#This Row],[Points]]&gt;=1.5,Table_BDD[[#This Row],[Points]]&lt;=70),"+",IF(Table_BDD[[#This Row],[Points]]&gt;70,"++"))))))</f>
        <v>0</v>
      </c>
      <c r="BH77" s="37" t="str">
        <f>IF(Table_BDD[[#This Row],[Position]]="","",IF(Table_BDD[[#This Row],[Points]]&gt;0,"Gagnant",IF(Table_BDD[[#This Row],[Points]]=0,"Flat","Perdant")))</f>
        <v>Gagnant</v>
      </c>
      <c r="BI77" s="40">
        <f>IF(Table_BDD[[#This Row],[Position]]="","",IF(Table_BDD[[#This Row],[Résultat]]="Gagnant",1,0))</f>
        <v>1</v>
      </c>
      <c r="BJ77" s="40">
        <f>IF(Table_BDD[[#This Row],[Position]]="","",IF(Table_BDD[[#This Row],[Résultat]]="Perdant",1,0))</f>
        <v>0</v>
      </c>
      <c r="BK77" s="40"/>
      <c r="BL77" s="145">
        <f>IF(Table_BDD[[#This Row],[T / P]]="","",Table_BDD[[#This Row],[T / P]])</f>
        <v>29141.23</v>
      </c>
      <c r="BM77" s="147"/>
      <c r="BN77" s="147"/>
      <c r="BO77" s="147"/>
      <c r="BP77" s="147"/>
      <c r="BQ77" s="127"/>
    </row>
    <row r="78" spans="1:69" x14ac:dyDescent="0.2">
      <c r="A78" s="93">
        <v>43871.91207175926</v>
      </c>
      <c r="B78" s="94">
        <v>259716018</v>
      </c>
      <c r="C78" s="37" t="s">
        <v>8</v>
      </c>
      <c r="D78" s="37" t="s">
        <v>10</v>
      </c>
      <c r="E78" s="37">
        <v>0.5</v>
      </c>
      <c r="F78" s="95">
        <v>29237.22</v>
      </c>
      <c r="G78" s="95">
        <v>29247.22</v>
      </c>
      <c r="H78" s="95">
        <v>29207.22</v>
      </c>
      <c r="I78" s="93">
        <v>43871.912407407406</v>
      </c>
      <c r="J78" s="95">
        <v>29247.31</v>
      </c>
      <c r="K78" s="95">
        <v>0</v>
      </c>
      <c r="L78" s="95">
        <v>0</v>
      </c>
      <c r="M78" s="32">
        <v>-4.63</v>
      </c>
      <c r="N78" s="148">
        <f>IF(Table_BDD[[#This Row],[Position]]="","",ROW()-3)</f>
        <v>75</v>
      </c>
      <c r="O78" s="32">
        <f>SUM($L$4:M78)</f>
        <v>-1.7199999999999704</v>
      </c>
      <c r="P78" s="32">
        <f>Table_BDD[[#This Row],[Equité avant trade]]+Table_BDD[[#This Row],[Profit]]+Table_BDD[[#This Row],[Echange]]</f>
        <v>998.28</v>
      </c>
      <c r="Q78" s="52">
        <f>INT(Table_BDD[[#This Row],[Horodatage cloture]])</f>
        <v>43871</v>
      </c>
      <c r="R78" s="34">
        <f>WEEKNUM(Table_BDD[[#This Row],[Horodatage cloture]],2)</f>
        <v>7</v>
      </c>
      <c r="S78" s="61">
        <f>WEEKDAY(Table_BDD[[#This Row],[Horodatage cloture]])</f>
        <v>2</v>
      </c>
      <c r="T78" s="63">
        <f>HOUR(Table_BDD[[#This Row],[Horodatage cloture]])</f>
        <v>21</v>
      </c>
      <c r="U78" s="68">
        <f>IF(Table_BDD[[#This Row],[Position]]="","",IF(Table_BDD[[#This Row],[Valeur début de journée unique]]&lt;&gt;0,1,0))</f>
        <v>0</v>
      </c>
      <c r="V78" s="68" t="str">
        <f>IF(Table_BDD[[#This Row],[Nb de séance de trading]]=1,COUNTIF(Table_BDD[Date],Table_BDD[[#This Row],[Date]]),"")</f>
        <v/>
      </c>
      <c r="W78" s="33">
        <f>IF(Table_BDD[[#This Row],[Position]]="","",IF(Table_BDD[[#This Row],[Type]]="buy",ROUND(Table_BDD[[#This Row],[Lvl Entrée]]-Table_BDD[[#This Row],[S / L]],1),ROUND(Table_BDD[[#This Row],[S / L]]-Table_BDD[[#This Row],[Lvl Entrée]],1)))</f>
        <v>10</v>
      </c>
      <c r="X78" s="33">
        <f>IF(Table_BDD[[#This Row],[Position]]="","",IF(Table_BDD[[#This Row],[T / P]]=0,200,IF(Table_BDD[[#This Row],[Type]]="buy",ROUND(Table_BDD[[#This Row],[T / P]]-Table_BDD[[#This Row],[Lvl Entrée]],1),ROUND(Table_BDD[[#This Row],[Lvl Entrée]]-Table_BDD[[#This Row],[T / P]],1))))</f>
        <v>30</v>
      </c>
      <c r="Y78" s="34">
        <f>IF(Table_BDD[[#This Row],[Position]]="","",IF(Table_BDD[[#This Row],[Ecart du SL]]&gt;0,ROUND(ABS(Table_BDD[[#This Row],[Ecart du TP]])/ABS(Table_BDD[[#This Row],[Ecart du SL]]),1),ROUND(ABS(Table_BDD[[#This Row],[Ecart du TP]])/10,1)))</f>
        <v>3</v>
      </c>
      <c r="Z78" s="34">
        <f>IF(Table_BDD[[#This Row],[Position]]="","",IF(Table_BDD[[#This Row],[Ecart du SL]]&lt;0,IF(AND(Table_BDD[[#This Row],[Profit]]&gt;0,Table_BDD[[#This Row],[Type]]="sell"),ROUND((Table_BDD[[#This Row],[Lvl Entrée]]-Table_BDD[[#This Row],[Lvl Sortie]])/(10),1),IF(AND(Table_BDD[[#This Row],[Profit]]&gt;0,Table_BDD[[#This Row],[Type]]="buy"),ROUND((Table_BDD[[#This Row],[Lvl Sortie]]-Table_BDD[[#This Row],[Lvl Entrée]])/(10),1),)),IF(AND(Table_BDD[[#This Row],[Profit]]&gt;0,Table_BDD[[#This Row],[Type]]="sell"),ROUND((Table_BDD[[#This Row],[Lvl Entrée]]-Table_BDD[[#This Row],[Lvl Sortie]])/(Table_BDD[[#This Row],[S / L]]-Table_BDD[[#This Row],[Lvl Entrée]]),1),IF(AND(Table_BDD[[#This Row],[Profit]]&gt;0,Table_BDD[[#This Row],[Type]]="buy"),ROUND((Table_BDD[[#This Row],[Lvl Sortie]]-Table_BDD[[#This Row],[Lvl Entrée]])/(Table_BDD[[#This Row],[Lvl Entrée]]-Table_BDD[[#This Row],[S / L]]),1),ROUND(Table_BDD[[#This Row],[Points]]/10,1)))))</f>
        <v>-1</v>
      </c>
      <c r="AA78" s="32">
        <f>IF(Table_BDD[[#This Row],[Position]]="",AA77,Table_BDD[[#This Row],[Equité après trade]]-Table_BDD[[#This Row],[Profit]]-Table_BDD[[#This Row],[Echange]])</f>
        <v>1002.91</v>
      </c>
      <c r="AB78" s="149">
        <f>$B$1+SUM($L$4:M78)</f>
        <v>998.28</v>
      </c>
      <c r="AC78" s="150">
        <f>IF(Table_BDD[[#This Row],[Position]]="","",_xlfn.MINIFS(Table_BDD[Horodatage ouverture],Table_BDD[Date],Table_BDD[Date]))</f>
        <v>43871.627708333333</v>
      </c>
      <c r="AD78" s="149">
        <f>VLOOKUP(_xlfn.MINIFS(Table_BDD[Horodatage ouverture],Table_BDD[Date],Table_BDD[Date]),Table_BDD[[Horodatage ouverture]:[Heure derniere valeur]],AA$2)</f>
        <v>1047.8899999999999</v>
      </c>
      <c r="AE78" s="149">
        <f>IF(VLOOKUP(_xlfn.MINIFS(Table_BDD[Horodatage ouverture],Table_BDD[Date],Table_BDD[Date]),Table_BDD[[Horodatage ouverture]:[Heure derniere valeur]],AA$2)=Table_BDD[[#This Row],[Equité avant trade]],VLOOKUP(_xlfn.MINIFS(Table_BDD[Horodatage ouverture],Table_BDD[Date],Table_BDD[Date]),Table_BDD[[Horodatage ouverture]:[Heure derniere valeur]],AA$2),0)</f>
        <v>0</v>
      </c>
      <c r="AF78" s="150">
        <f>IF(Table_BDD[[#This Row],[Position]]="","",_xlfn.MAXIFS(Table_BDD[Horodatage ouverture],Table_BDD[Date],Table_BDD[Date]))</f>
        <v>43871.914259259262</v>
      </c>
      <c r="AG78" s="32">
        <f>VLOOKUP(_xlfn.MAXIFS(Table_BDD[Horodatage cloture],Table_BDD[Date],Table_BDD[Date]),Table_BDD[[Horodatage ouverture]:[Heure derniere valeur]],AB$2)</f>
        <v>984.33</v>
      </c>
      <c r="AH78" s="32">
        <f>IF(VLOOKUP(_xlfn.MAXIFS(Table_BDD[Horodatage cloture],Table_BDD[Date],Table_BDD[Date]),Table_BDD[[Horodatage ouverture]:[Heure derniere valeur]],AB$2)=Table_BDD[[#This Row],[Equité après trade]],VLOOKUP(_xlfn.MAXIFS(Table_BDD[Horodatage cloture],Table_BDD[Date],Table_BDD[Date]),Table_BDD[[Horodatage ouverture]:[Heure derniere valeur]],AB$2),0)</f>
        <v>0</v>
      </c>
      <c r="AI78" s="32" t="e">
        <f>IF(Table_BDD[[#This Row],[Valeur fin de journée unique]]=0,#N/A,Table_BDD[[#This Row],[Valeur fin de journée unique]])</f>
        <v>#N/A</v>
      </c>
      <c r="AJ78" s="35">
        <f>IF(Table_BDD[[#This Row],[Position]]="","",(Table_BDD[[#This Row],[Equité après trade]]-Table_BDD[[#This Row],[Equité avant trade]])/Table_BDD[[#This Row],[Equité avant trade]])</f>
        <v>-4.6165657935407917E-3</v>
      </c>
      <c r="AK78" s="35" t="str">
        <f>IFERROR(((INDEX(Table_BDD[[Trade n°]:[Valeur fin de journée unique]],Table_BDD[[#This Row],[Nb de trade du jour]]+Table_BDD[[#This Row],[Trade n°]]-1,21))-Table_BDD[[#This Row],[Valeur début de journée unique]])/Table_BDD[[#This Row],[Valeur début de journée unique]],"")</f>
        <v/>
      </c>
      <c r="AL78" s="32">
        <f>IF(Table_BDD[[#This Row],[Position]]="","",MAX(Table_BDD[[#This Row],[Cumul équité]],AL77))</f>
        <v>1052.8399999999999</v>
      </c>
      <c r="AM78" s="32">
        <f>IF(Table_BDD[[#This Row],[Position]]="","",MIN(Table_BDD[[#This Row],[Cumul équité]],AL77))</f>
        <v>998.28</v>
      </c>
      <c r="AN78" s="97">
        <f>IF(Table_BDD[[#This Row],[Sommet Drawdown]]&gt;AL77,"",Table_BDD[[#This Row],[Creux Drawdown]]/Table_BDD[[#This Row],[Sommet Drawdown]]-1)</f>
        <v>-5.1821739295619396E-2</v>
      </c>
      <c r="AO78" s="36">
        <f>IF(Table_BDD[[#This Row],[Position]]="","",IF(Table_BDD[[#This Row],[Type]]="buy",ROUND(Table_BDD[[#This Row],[Lvl Sortie]]-Table_BDD[[#This Row],[Lvl Entrée]],1),ROUND(Table_BDD[[#This Row],[Lvl Entrée]]-Table_BDD[[#This Row],[Lvl Sortie]],1)))</f>
        <v>-10.1</v>
      </c>
      <c r="AP78" s="36" t="str">
        <f>IF(Table_BDD[[#This Row],[Points]]&gt;0,Table_BDD[[#This Row],[Points]],"")</f>
        <v/>
      </c>
      <c r="AQ78" s="36">
        <f>IF(Table_BDD[[#This Row],[Points]]&lt;0,Table_BDD[[#This Row],[Points]],"")</f>
        <v>-10.1</v>
      </c>
      <c r="AR78" s="36">
        <f>SUM($AO$4:AO78)</f>
        <v>-3.5999999999999908</v>
      </c>
      <c r="AS78" s="68">
        <f>IF(Table_BDD[[#This Row],[Position]]="","",IF(Table_BDD[[#This Row],[Conformité]]="Conforme",1,0))</f>
        <v>0</v>
      </c>
      <c r="AT78" s="68">
        <f>IF(Table_BDD[[#This Row],[Position]]="","",IF(Table_BDD[[#This Row],[Conformité]]="Non conforme",1,0))</f>
        <v>1</v>
      </c>
      <c r="AU78" s="37" t="s">
        <v>17</v>
      </c>
      <c r="AV78" s="37"/>
      <c r="AW78" s="37"/>
      <c r="AX78" s="37">
        <v>0</v>
      </c>
      <c r="AY78" s="37">
        <v>0</v>
      </c>
      <c r="AZ78" s="37">
        <v>0</v>
      </c>
      <c r="BA78" s="40" t="str">
        <f>IF(Table_BDD[[#This Row],[Position]]="","Sans objet",IF(AND(Table_BDD[[#This Row],[Type]]="sell",Table_BDD[[#This Row],[S / L]]&lt;Table_BDD[[#This Row],[Lvl Entrée]],Table_BDD[[#This Row],[Lvl Sortie]]&lt;=Table_BDD[[#This Row],[S / L]]+2,Table_BDD[[#This Row],[Lvl Sortie]]&lt;Table_BDD[[#This Row],[Lvl Entrée]]-19),"Oui",IF(AND(Table_BDD[[#This Row],[Type]]="buy",Table_BDD[[#This Row],[S / L]]&gt;Table_BDD[[#This Row],[Lvl Entrée]],Table_BDD[[#This Row],[Lvl Sortie]]&gt;=Table_BDD[[#This Row],[S / L]]-2,Table_BDD[[#This Row],[S / L]]&gt;Table_BDD[[#This Row],[Lvl Entrée]]+19),"Oui","Non")))</f>
        <v>Non</v>
      </c>
      <c r="BB78" s="40" t="str">
        <f>IF(Table_BDD[[#This Row],[Position]]="","Sans objet",IF(AND(Table_BDD[[#This Row],[Type]]="sell",Table_BDD[[#This Row],[S / L]]&lt;Table_BDD[[#This Row],[Lvl Entrée]],Table_BDD[[#This Row],[Points]]&gt;=-1),"Oui",IF(AND(Table_BDD[[#This Row],[Type]]="sell",Table_BDD[[#This Row],[S / L]]&gt;Table_BDD[[#This Row],[Lvl Entrée]]),"Non",IF(AND(Table_BDD[[#This Row],[Type]]="buy",Table_BDD[[#This Row],[S / L]]&lt;Table_BDD[[#This Row],[Lvl Entrée]]),"Non",IF(AND(Table_BDD[[#This Row],[Type]]="buy",Table_BDD[[#This Row],[S / L]]&gt;Table_BDD[[#This Row],[Lvl Entrée]],Table_BDD[[#This Row],[Points]]&gt;=-1),"Oui")))))</f>
        <v>Non</v>
      </c>
      <c r="BC78" s="40" t="str">
        <f>IF(Table_BDD[[#This Row],[Position]]="","Sans objet",IF(Table_BDD[[#This Row],[T / P]]="","Non",IF(AND(Table_BDD[[#This Row],[Type]]="sell",Table_BDD[[#This Row],[Lvl Sortie]]&lt;=Table_BDD[[#This Row],[T / P]]),"Oui",IF(AND(Table_BDD[[#This Row],[Type]]="buy",Table_BDD[[#This Row],[Lvl Sortie]]&gt;=Table_BDD[[#This Row],[T / P]]),"Oui","Non"))))</f>
        <v>Non</v>
      </c>
      <c r="BD78" s="91">
        <f t="array" ref="BD78">IFERROR(INDEX(downloadFile[#All],MATCH(Table_BDD[[#This Row],[Date]],downloadFile[[#All],[Column1]],0),2),BD77)</f>
        <v>1.0951</v>
      </c>
      <c r="BE78" s="89">
        <f>IF(Table_BDD[[#This Row],[Position]]="","",IF(Table_BDD[[#This Row],[Symbole]]="UsaInd",(Table_BDD[[#This Row],[Volume]]*Table_BDD[[#This Row],[Lvl Entrée]])/(Table_BDD[[#This Row],[Equité avant trade]]*Table_BDD[[#This Row],[EUR/USD]]),IF(Table_BDD[[#This Row],[Symbole]]="Ger30",(Table_BDD[[#This Row],[Volume]]*Table_BDD[[#This Row],[Lvl Entrée]])/Table_BDD[[#This Row],[Equité avant trade]],)))</f>
        <v>13.31037647480805</v>
      </c>
      <c r="BF78" s="38">
        <f>IF(Table_BDD[[#This Row],[Position]]="","",IF(Table_BDD[[#This Row],[Conformité]]="Non conforme",0,(MROUND(3*((Table_BDD[[#This Row],[Conviction]]+Table_BDD[[#This Row],[Timing]]+Table_BDD[[#This Row],[Sortie]])+1)-2,1))))</f>
        <v>0</v>
      </c>
      <c r="BG78" s="38" t="str">
        <f>IF(Table_BDD[[#This Row],[Position]]="","",IF(Table_BDD[[#This Row],[Points]]&lt;-5,"--",IF(AND(Table_BDD[[#This Row],[Points]]&gt;=-5,Table_BDD[[#This Row],[Points]]&lt;-1.5),"-",IF(AND(Table_BDD[[#This Row],[Points]]&gt;=-1.5,Table_BDD[[#This Row],[Points]]&lt;1.5),"0",IF(AND(Table_BDD[[#This Row],[Points]]&gt;=1.5,Table_BDD[[#This Row],[Points]]&lt;=70),"+",IF(Table_BDD[[#This Row],[Points]]&gt;70,"++"))))))</f>
        <v>--</v>
      </c>
      <c r="BH78" s="37" t="str">
        <f>IF(Table_BDD[[#This Row],[Position]]="","",IF(Table_BDD[[#This Row],[Points]]&gt;0,"Gagnant",IF(Table_BDD[[#This Row],[Points]]=0,"Flat","Perdant")))</f>
        <v>Perdant</v>
      </c>
      <c r="BI78" s="40">
        <f>IF(Table_BDD[[#This Row],[Position]]="","",IF(Table_BDD[[#This Row],[Résultat]]="Gagnant",1,0))</f>
        <v>0</v>
      </c>
      <c r="BJ78" s="40">
        <f>IF(Table_BDD[[#This Row],[Position]]="","",IF(Table_BDD[[#This Row],[Résultat]]="Perdant",1,0))</f>
        <v>1</v>
      </c>
      <c r="BK78" s="40"/>
      <c r="BL78" s="145">
        <f>IF(Table_BDD[[#This Row],[T / P]]="","",Table_BDD[[#This Row],[T / P]])</f>
        <v>29207.22</v>
      </c>
      <c r="BM78" s="147"/>
      <c r="BN78" s="147"/>
      <c r="BO78" s="147"/>
      <c r="BP78" s="147"/>
      <c r="BQ78" s="127"/>
    </row>
    <row r="79" spans="1:69" x14ac:dyDescent="0.2">
      <c r="A79" s="93">
        <v>43871.912430555552</v>
      </c>
      <c r="B79" s="94">
        <v>259716050</v>
      </c>
      <c r="C79" s="37" t="s">
        <v>8</v>
      </c>
      <c r="D79" s="37" t="s">
        <v>10</v>
      </c>
      <c r="E79" s="37">
        <v>0.5</v>
      </c>
      <c r="F79" s="95">
        <v>29245.24</v>
      </c>
      <c r="G79" s="95">
        <v>29255.24</v>
      </c>
      <c r="H79" s="95">
        <v>29205.24</v>
      </c>
      <c r="I79" s="93">
        <v>43871.91300925926</v>
      </c>
      <c r="J79" s="95">
        <v>29255.48</v>
      </c>
      <c r="K79" s="95">
        <v>0</v>
      </c>
      <c r="L79" s="95">
        <v>0</v>
      </c>
      <c r="M79" s="32">
        <v>-4.6900000000000004</v>
      </c>
      <c r="N79" s="148">
        <f>IF(Table_BDD[[#This Row],[Position]]="","",ROW()-3)</f>
        <v>76</v>
      </c>
      <c r="O79" s="32">
        <f>SUM($L$4:M79)</f>
        <v>-6.4099999999999708</v>
      </c>
      <c r="P79" s="32">
        <f>Table_BDD[[#This Row],[Equité avant trade]]+Table_BDD[[#This Row],[Profit]]+Table_BDD[[#This Row],[Echange]]</f>
        <v>993.59</v>
      </c>
      <c r="Q79" s="52">
        <f>INT(Table_BDD[[#This Row],[Horodatage cloture]])</f>
        <v>43871</v>
      </c>
      <c r="R79" s="34">
        <f>WEEKNUM(Table_BDD[[#This Row],[Horodatage cloture]],2)</f>
        <v>7</v>
      </c>
      <c r="S79" s="61">
        <f>WEEKDAY(Table_BDD[[#This Row],[Horodatage cloture]])</f>
        <v>2</v>
      </c>
      <c r="T79" s="63">
        <f>HOUR(Table_BDD[[#This Row],[Horodatage cloture]])</f>
        <v>21</v>
      </c>
      <c r="U79" s="68">
        <f>IF(Table_BDD[[#This Row],[Position]]="","",IF(Table_BDD[[#This Row],[Valeur début de journée unique]]&lt;&gt;0,1,0))</f>
        <v>0</v>
      </c>
      <c r="V79" s="68" t="str">
        <f>IF(Table_BDD[[#This Row],[Nb de séance de trading]]=1,COUNTIF(Table_BDD[Date],Table_BDD[[#This Row],[Date]]),"")</f>
        <v/>
      </c>
      <c r="W79" s="33">
        <f>IF(Table_BDD[[#This Row],[Position]]="","",IF(Table_BDD[[#This Row],[Type]]="buy",ROUND(Table_BDD[[#This Row],[Lvl Entrée]]-Table_BDD[[#This Row],[S / L]],1),ROUND(Table_BDD[[#This Row],[S / L]]-Table_BDD[[#This Row],[Lvl Entrée]],1)))</f>
        <v>10</v>
      </c>
      <c r="X79" s="33">
        <f>IF(Table_BDD[[#This Row],[Position]]="","",IF(Table_BDD[[#This Row],[T / P]]=0,200,IF(Table_BDD[[#This Row],[Type]]="buy",ROUND(Table_BDD[[#This Row],[T / P]]-Table_BDD[[#This Row],[Lvl Entrée]],1),ROUND(Table_BDD[[#This Row],[Lvl Entrée]]-Table_BDD[[#This Row],[T / P]],1))))</f>
        <v>40</v>
      </c>
      <c r="Y79" s="34">
        <f>IF(Table_BDD[[#This Row],[Position]]="","",IF(Table_BDD[[#This Row],[Ecart du SL]]&gt;0,ROUND(ABS(Table_BDD[[#This Row],[Ecart du TP]])/ABS(Table_BDD[[#This Row],[Ecart du SL]]),1),ROUND(ABS(Table_BDD[[#This Row],[Ecart du TP]])/10,1)))</f>
        <v>4</v>
      </c>
      <c r="Z79" s="34">
        <f>IF(Table_BDD[[#This Row],[Position]]="","",IF(Table_BDD[[#This Row],[Ecart du SL]]&lt;0,IF(AND(Table_BDD[[#This Row],[Profit]]&gt;0,Table_BDD[[#This Row],[Type]]="sell"),ROUND((Table_BDD[[#This Row],[Lvl Entrée]]-Table_BDD[[#This Row],[Lvl Sortie]])/(10),1),IF(AND(Table_BDD[[#This Row],[Profit]]&gt;0,Table_BDD[[#This Row],[Type]]="buy"),ROUND((Table_BDD[[#This Row],[Lvl Sortie]]-Table_BDD[[#This Row],[Lvl Entrée]])/(10),1),)),IF(AND(Table_BDD[[#This Row],[Profit]]&gt;0,Table_BDD[[#This Row],[Type]]="sell"),ROUND((Table_BDD[[#This Row],[Lvl Entrée]]-Table_BDD[[#This Row],[Lvl Sortie]])/(Table_BDD[[#This Row],[S / L]]-Table_BDD[[#This Row],[Lvl Entrée]]),1),IF(AND(Table_BDD[[#This Row],[Profit]]&gt;0,Table_BDD[[#This Row],[Type]]="buy"),ROUND((Table_BDD[[#This Row],[Lvl Sortie]]-Table_BDD[[#This Row],[Lvl Entrée]])/(Table_BDD[[#This Row],[Lvl Entrée]]-Table_BDD[[#This Row],[S / L]]),1),ROUND(Table_BDD[[#This Row],[Points]]/10,1)))))</f>
        <v>-1</v>
      </c>
      <c r="AA79" s="32">
        <f>IF(Table_BDD[[#This Row],[Position]]="",AA78,Table_BDD[[#This Row],[Equité après trade]]-Table_BDD[[#This Row],[Profit]]-Table_BDD[[#This Row],[Echange]])</f>
        <v>998.28000000000009</v>
      </c>
      <c r="AB79" s="149">
        <f>$B$1+SUM($L$4:M79)</f>
        <v>993.59</v>
      </c>
      <c r="AC79" s="150">
        <f>IF(Table_BDD[[#This Row],[Position]]="","",_xlfn.MINIFS(Table_BDD[Horodatage ouverture],Table_BDD[Date],Table_BDD[Date]))</f>
        <v>43871.627708333333</v>
      </c>
      <c r="AD79" s="149">
        <f>VLOOKUP(_xlfn.MINIFS(Table_BDD[Horodatage ouverture],Table_BDD[Date],Table_BDD[Date]),Table_BDD[[Horodatage ouverture]:[Heure derniere valeur]],AA$2)</f>
        <v>1047.8899999999999</v>
      </c>
      <c r="AE79" s="149">
        <f>IF(VLOOKUP(_xlfn.MINIFS(Table_BDD[Horodatage ouverture],Table_BDD[Date],Table_BDD[Date]),Table_BDD[[Horodatage ouverture]:[Heure derniere valeur]],AA$2)=Table_BDD[[#This Row],[Equité avant trade]],VLOOKUP(_xlfn.MINIFS(Table_BDD[Horodatage ouverture],Table_BDD[Date],Table_BDD[Date]),Table_BDD[[Horodatage ouverture]:[Heure derniere valeur]],AA$2),0)</f>
        <v>0</v>
      </c>
      <c r="AF79" s="150">
        <f>IF(Table_BDD[[#This Row],[Position]]="","",_xlfn.MAXIFS(Table_BDD[Horodatage ouverture],Table_BDD[Date],Table_BDD[Date]))</f>
        <v>43871.914259259262</v>
      </c>
      <c r="AG79" s="32">
        <f>VLOOKUP(_xlfn.MAXIFS(Table_BDD[Horodatage cloture],Table_BDD[Date],Table_BDD[Date]),Table_BDD[[Horodatage ouverture]:[Heure derniere valeur]],AB$2)</f>
        <v>984.33</v>
      </c>
      <c r="AH79" s="32">
        <f>IF(VLOOKUP(_xlfn.MAXIFS(Table_BDD[Horodatage cloture],Table_BDD[Date],Table_BDD[Date]),Table_BDD[[Horodatage ouverture]:[Heure derniere valeur]],AB$2)=Table_BDD[[#This Row],[Equité après trade]],VLOOKUP(_xlfn.MAXIFS(Table_BDD[Horodatage cloture],Table_BDD[Date],Table_BDD[Date]),Table_BDD[[Horodatage ouverture]:[Heure derniere valeur]],AB$2),0)</f>
        <v>0</v>
      </c>
      <c r="AI79" s="32" t="e">
        <f>IF(Table_BDD[[#This Row],[Valeur fin de journée unique]]=0,#N/A,Table_BDD[[#This Row],[Valeur fin de journée unique]])</f>
        <v>#N/A</v>
      </c>
      <c r="AJ79" s="35">
        <f>IF(Table_BDD[[#This Row],[Position]]="","",(Table_BDD[[#This Row],[Equité après trade]]-Table_BDD[[#This Row],[Equité avant trade]])/Table_BDD[[#This Row],[Equité avant trade]])</f>
        <v>-4.698080698801994E-3</v>
      </c>
      <c r="AK79" s="35" t="str">
        <f>IFERROR(((INDEX(Table_BDD[[Trade n°]:[Valeur fin de journée unique]],Table_BDD[[#This Row],[Nb de trade du jour]]+Table_BDD[[#This Row],[Trade n°]]-1,21))-Table_BDD[[#This Row],[Valeur début de journée unique]])/Table_BDD[[#This Row],[Valeur début de journée unique]],"")</f>
        <v/>
      </c>
      <c r="AL79" s="32">
        <f>IF(Table_BDD[[#This Row],[Position]]="","",MAX(Table_BDD[[#This Row],[Cumul équité]],AL78))</f>
        <v>1052.8399999999999</v>
      </c>
      <c r="AM79" s="32">
        <f>IF(Table_BDD[[#This Row],[Position]]="","",MIN(Table_BDD[[#This Row],[Cumul équité]],AL78))</f>
        <v>993.59</v>
      </c>
      <c r="AN79" s="97">
        <f>IF(Table_BDD[[#This Row],[Sommet Drawdown]]&gt;AL78,"",Table_BDD[[#This Row],[Creux Drawdown]]/Table_BDD[[#This Row],[Sommet Drawdown]]-1)</f>
        <v>-5.6276357281258238E-2</v>
      </c>
      <c r="AO79" s="36">
        <f>IF(Table_BDD[[#This Row],[Position]]="","",IF(Table_BDD[[#This Row],[Type]]="buy",ROUND(Table_BDD[[#This Row],[Lvl Sortie]]-Table_BDD[[#This Row],[Lvl Entrée]],1),ROUND(Table_BDD[[#This Row],[Lvl Entrée]]-Table_BDD[[#This Row],[Lvl Sortie]],1)))</f>
        <v>-10.199999999999999</v>
      </c>
      <c r="AP79" s="36" t="str">
        <f>IF(Table_BDD[[#This Row],[Points]]&gt;0,Table_BDD[[#This Row],[Points]],"")</f>
        <v/>
      </c>
      <c r="AQ79" s="36">
        <f>IF(Table_BDD[[#This Row],[Points]]&lt;0,Table_BDD[[#This Row],[Points]],"")</f>
        <v>-10.199999999999999</v>
      </c>
      <c r="AR79" s="36">
        <f>SUM($AO$4:AO79)</f>
        <v>-13.79999999999999</v>
      </c>
      <c r="AS79" s="68">
        <f>IF(Table_BDD[[#This Row],[Position]]="","",IF(Table_BDD[[#This Row],[Conformité]]="Conforme",1,0))</f>
        <v>0</v>
      </c>
      <c r="AT79" s="68">
        <f>IF(Table_BDD[[#This Row],[Position]]="","",IF(Table_BDD[[#This Row],[Conformité]]="Non conforme",1,0))</f>
        <v>1</v>
      </c>
      <c r="AU79" s="37" t="s">
        <v>17</v>
      </c>
      <c r="AV79" s="37"/>
      <c r="AW79" s="37"/>
      <c r="AX79" s="37">
        <v>0</v>
      </c>
      <c r="AY79" s="37">
        <v>0</v>
      </c>
      <c r="AZ79" s="37">
        <v>0</v>
      </c>
      <c r="BA79" s="40" t="str">
        <f>IF(Table_BDD[[#This Row],[Position]]="","Sans objet",IF(AND(Table_BDD[[#This Row],[Type]]="sell",Table_BDD[[#This Row],[S / L]]&lt;Table_BDD[[#This Row],[Lvl Entrée]],Table_BDD[[#This Row],[Lvl Sortie]]&lt;=Table_BDD[[#This Row],[S / L]]+2,Table_BDD[[#This Row],[Lvl Sortie]]&lt;Table_BDD[[#This Row],[Lvl Entrée]]-19),"Oui",IF(AND(Table_BDD[[#This Row],[Type]]="buy",Table_BDD[[#This Row],[S / L]]&gt;Table_BDD[[#This Row],[Lvl Entrée]],Table_BDD[[#This Row],[Lvl Sortie]]&gt;=Table_BDD[[#This Row],[S / L]]-2,Table_BDD[[#This Row],[S / L]]&gt;Table_BDD[[#This Row],[Lvl Entrée]]+19),"Oui","Non")))</f>
        <v>Non</v>
      </c>
      <c r="BB79" s="40" t="str">
        <f>IF(Table_BDD[[#This Row],[Position]]="","Sans objet",IF(AND(Table_BDD[[#This Row],[Type]]="sell",Table_BDD[[#This Row],[S / L]]&lt;Table_BDD[[#This Row],[Lvl Entrée]],Table_BDD[[#This Row],[Points]]&gt;=-1),"Oui",IF(AND(Table_BDD[[#This Row],[Type]]="sell",Table_BDD[[#This Row],[S / L]]&gt;Table_BDD[[#This Row],[Lvl Entrée]]),"Non",IF(AND(Table_BDD[[#This Row],[Type]]="buy",Table_BDD[[#This Row],[S / L]]&lt;Table_BDD[[#This Row],[Lvl Entrée]]),"Non",IF(AND(Table_BDD[[#This Row],[Type]]="buy",Table_BDD[[#This Row],[S / L]]&gt;Table_BDD[[#This Row],[Lvl Entrée]],Table_BDD[[#This Row],[Points]]&gt;=-1),"Oui")))))</f>
        <v>Non</v>
      </c>
      <c r="BC79" s="40" t="str">
        <f>IF(Table_BDD[[#This Row],[Position]]="","Sans objet",IF(Table_BDD[[#This Row],[T / P]]="","Non",IF(AND(Table_BDD[[#This Row],[Type]]="sell",Table_BDD[[#This Row],[Lvl Sortie]]&lt;=Table_BDD[[#This Row],[T / P]]),"Oui",IF(AND(Table_BDD[[#This Row],[Type]]="buy",Table_BDD[[#This Row],[Lvl Sortie]]&gt;=Table_BDD[[#This Row],[T / P]]),"Oui","Non"))))</f>
        <v>Non</v>
      </c>
      <c r="BD79" s="91">
        <f t="array" ref="BD79">IFERROR(INDEX(downloadFile[#All],MATCH(Table_BDD[[#This Row],[Date]],downloadFile[[#All],[Column1]],0),2),BD78)</f>
        <v>1.0951</v>
      </c>
      <c r="BE79" s="89">
        <f>IF(Table_BDD[[#This Row],[Position]]="","",IF(Table_BDD[[#This Row],[Symbole]]="UsaInd",(Table_BDD[[#This Row],[Volume]]*Table_BDD[[#This Row],[Lvl Entrée]])/(Table_BDD[[#This Row],[Equité avant trade]]*Table_BDD[[#This Row],[EUR/USD]]),IF(Table_BDD[[#This Row],[Symbole]]="Ger30",(Table_BDD[[#This Row],[Volume]]*Table_BDD[[#This Row],[Lvl Entrée]])/Table_BDD[[#This Row],[Equité avant trade]],)))</f>
        <v>13.375777774170077</v>
      </c>
      <c r="BF79" s="38">
        <f>IF(Table_BDD[[#This Row],[Position]]="","",IF(Table_BDD[[#This Row],[Conformité]]="Non conforme",0,(MROUND(3*((Table_BDD[[#This Row],[Conviction]]+Table_BDD[[#This Row],[Timing]]+Table_BDD[[#This Row],[Sortie]])+1)-2,1))))</f>
        <v>0</v>
      </c>
      <c r="BG79" s="38" t="str">
        <f>IF(Table_BDD[[#This Row],[Position]]="","",IF(Table_BDD[[#This Row],[Points]]&lt;-5,"--",IF(AND(Table_BDD[[#This Row],[Points]]&gt;=-5,Table_BDD[[#This Row],[Points]]&lt;-1.5),"-",IF(AND(Table_BDD[[#This Row],[Points]]&gt;=-1.5,Table_BDD[[#This Row],[Points]]&lt;1.5),"0",IF(AND(Table_BDD[[#This Row],[Points]]&gt;=1.5,Table_BDD[[#This Row],[Points]]&lt;=70),"+",IF(Table_BDD[[#This Row],[Points]]&gt;70,"++"))))))</f>
        <v>--</v>
      </c>
      <c r="BH79" s="37" t="str">
        <f>IF(Table_BDD[[#This Row],[Position]]="","",IF(Table_BDD[[#This Row],[Points]]&gt;0,"Gagnant",IF(Table_BDD[[#This Row],[Points]]=0,"Flat","Perdant")))</f>
        <v>Perdant</v>
      </c>
      <c r="BI79" s="40">
        <f>IF(Table_BDD[[#This Row],[Position]]="","",IF(Table_BDD[[#This Row],[Résultat]]="Gagnant",1,0))</f>
        <v>0</v>
      </c>
      <c r="BJ79" s="40">
        <f>IF(Table_BDD[[#This Row],[Position]]="","",IF(Table_BDD[[#This Row],[Résultat]]="Perdant",1,0))</f>
        <v>1</v>
      </c>
      <c r="BK79" s="40"/>
      <c r="BL79" s="145">
        <f>IF(Table_BDD[[#This Row],[T / P]]="","",Table_BDD[[#This Row],[T / P]])</f>
        <v>29205.24</v>
      </c>
      <c r="BM79" s="147"/>
      <c r="BN79" s="147"/>
      <c r="BO79" s="147"/>
      <c r="BP79" s="147"/>
      <c r="BQ79" s="127"/>
    </row>
    <row r="80" spans="1:69" x14ac:dyDescent="0.2">
      <c r="A80" s="93">
        <v>43871.913194444445</v>
      </c>
      <c r="B80" s="94">
        <v>259716124</v>
      </c>
      <c r="C80" s="37" t="s">
        <v>8</v>
      </c>
      <c r="D80" s="37" t="s">
        <v>10</v>
      </c>
      <c r="E80" s="37">
        <v>0.5</v>
      </c>
      <c r="F80" s="95">
        <v>29250.41</v>
      </c>
      <c r="G80" s="95">
        <v>29260.41</v>
      </c>
      <c r="H80" s="95">
        <v>29200.41</v>
      </c>
      <c r="I80" s="93">
        <v>43871.914178240739</v>
      </c>
      <c r="J80" s="95">
        <v>29260.43</v>
      </c>
      <c r="K80" s="95">
        <v>0</v>
      </c>
      <c r="L80" s="95">
        <v>0</v>
      </c>
      <c r="M80" s="32">
        <v>-4.59</v>
      </c>
      <c r="N80" s="148">
        <f>IF(Table_BDD[[#This Row],[Position]]="","",ROW()-3)</f>
        <v>77</v>
      </c>
      <c r="O80" s="32">
        <f>SUM($L$4:M80)</f>
        <v>-10.999999999999972</v>
      </c>
      <c r="P80" s="32">
        <f>Table_BDD[[#This Row],[Equité avant trade]]+Table_BDD[[#This Row],[Profit]]+Table_BDD[[#This Row],[Echange]]</f>
        <v>989</v>
      </c>
      <c r="Q80" s="52">
        <f>INT(Table_BDD[[#This Row],[Horodatage cloture]])</f>
        <v>43871</v>
      </c>
      <c r="R80" s="34">
        <f>WEEKNUM(Table_BDD[[#This Row],[Horodatage cloture]],2)</f>
        <v>7</v>
      </c>
      <c r="S80" s="61">
        <f>WEEKDAY(Table_BDD[[#This Row],[Horodatage cloture]])</f>
        <v>2</v>
      </c>
      <c r="T80" s="63">
        <f>HOUR(Table_BDD[[#This Row],[Horodatage cloture]])</f>
        <v>21</v>
      </c>
      <c r="U80" s="68">
        <f>IF(Table_BDD[[#This Row],[Position]]="","",IF(Table_BDD[[#This Row],[Valeur début de journée unique]]&lt;&gt;0,1,0))</f>
        <v>0</v>
      </c>
      <c r="V80" s="68" t="str">
        <f>IF(Table_BDD[[#This Row],[Nb de séance de trading]]=1,COUNTIF(Table_BDD[Date],Table_BDD[[#This Row],[Date]]),"")</f>
        <v/>
      </c>
      <c r="W80" s="33">
        <f>IF(Table_BDD[[#This Row],[Position]]="","",IF(Table_BDD[[#This Row],[Type]]="buy",ROUND(Table_BDD[[#This Row],[Lvl Entrée]]-Table_BDD[[#This Row],[S / L]],1),ROUND(Table_BDD[[#This Row],[S / L]]-Table_BDD[[#This Row],[Lvl Entrée]],1)))</f>
        <v>10</v>
      </c>
      <c r="X80" s="33">
        <f>IF(Table_BDD[[#This Row],[Position]]="","",IF(Table_BDD[[#This Row],[T / P]]=0,200,IF(Table_BDD[[#This Row],[Type]]="buy",ROUND(Table_BDD[[#This Row],[T / P]]-Table_BDD[[#This Row],[Lvl Entrée]],1),ROUND(Table_BDD[[#This Row],[Lvl Entrée]]-Table_BDD[[#This Row],[T / P]],1))))</f>
        <v>50</v>
      </c>
      <c r="Y80" s="34">
        <f>IF(Table_BDD[[#This Row],[Position]]="","",IF(Table_BDD[[#This Row],[Ecart du SL]]&gt;0,ROUND(ABS(Table_BDD[[#This Row],[Ecart du TP]])/ABS(Table_BDD[[#This Row],[Ecart du SL]]),1),ROUND(ABS(Table_BDD[[#This Row],[Ecart du TP]])/10,1)))</f>
        <v>5</v>
      </c>
      <c r="Z80" s="34">
        <f>IF(Table_BDD[[#This Row],[Position]]="","",IF(Table_BDD[[#This Row],[Ecart du SL]]&lt;0,IF(AND(Table_BDD[[#This Row],[Profit]]&gt;0,Table_BDD[[#This Row],[Type]]="sell"),ROUND((Table_BDD[[#This Row],[Lvl Entrée]]-Table_BDD[[#This Row],[Lvl Sortie]])/(10),1),IF(AND(Table_BDD[[#This Row],[Profit]]&gt;0,Table_BDD[[#This Row],[Type]]="buy"),ROUND((Table_BDD[[#This Row],[Lvl Sortie]]-Table_BDD[[#This Row],[Lvl Entrée]])/(10),1),)),IF(AND(Table_BDD[[#This Row],[Profit]]&gt;0,Table_BDD[[#This Row],[Type]]="sell"),ROUND((Table_BDD[[#This Row],[Lvl Entrée]]-Table_BDD[[#This Row],[Lvl Sortie]])/(Table_BDD[[#This Row],[S / L]]-Table_BDD[[#This Row],[Lvl Entrée]]),1),IF(AND(Table_BDD[[#This Row],[Profit]]&gt;0,Table_BDD[[#This Row],[Type]]="buy"),ROUND((Table_BDD[[#This Row],[Lvl Sortie]]-Table_BDD[[#This Row],[Lvl Entrée]])/(Table_BDD[[#This Row],[Lvl Entrée]]-Table_BDD[[#This Row],[S / L]]),1),ROUND(Table_BDD[[#This Row],[Points]]/10,1)))))</f>
        <v>-1</v>
      </c>
      <c r="AA80" s="32">
        <f>IF(Table_BDD[[#This Row],[Position]]="",AA79,Table_BDD[[#This Row],[Equité après trade]]-Table_BDD[[#This Row],[Profit]]-Table_BDD[[#This Row],[Echange]])</f>
        <v>993.59</v>
      </c>
      <c r="AB80" s="149">
        <f>$B$1+SUM($L$4:M80)</f>
        <v>989</v>
      </c>
      <c r="AC80" s="150">
        <f>IF(Table_BDD[[#This Row],[Position]]="","",_xlfn.MINIFS(Table_BDD[Horodatage ouverture],Table_BDD[Date],Table_BDD[Date]))</f>
        <v>43871.627708333333</v>
      </c>
      <c r="AD80" s="149">
        <f>VLOOKUP(_xlfn.MINIFS(Table_BDD[Horodatage ouverture],Table_BDD[Date],Table_BDD[Date]),Table_BDD[[Horodatage ouverture]:[Heure derniere valeur]],AA$2)</f>
        <v>1047.8899999999999</v>
      </c>
      <c r="AE80" s="149">
        <f>IF(VLOOKUP(_xlfn.MINIFS(Table_BDD[Horodatage ouverture],Table_BDD[Date],Table_BDD[Date]),Table_BDD[[Horodatage ouverture]:[Heure derniere valeur]],AA$2)=Table_BDD[[#This Row],[Equité avant trade]],VLOOKUP(_xlfn.MINIFS(Table_BDD[Horodatage ouverture],Table_BDD[Date],Table_BDD[Date]),Table_BDD[[Horodatage ouverture]:[Heure derniere valeur]],AA$2),0)</f>
        <v>0</v>
      </c>
      <c r="AF80" s="150">
        <f>IF(Table_BDD[[#This Row],[Position]]="","",_xlfn.MAXIFS(Table_BDD[Horodatage ouverture],Table_BDD[Date],Table_BDD[Date]))</f>
        <v>43871.914259259262</v>
      </c>
      <c r="AG80" s="32">
        <f>VLOOKUP(_xlfn.MAXIFS(Table_BDD[Horodatage cloture],Table_BDD[Date],Table_BDD[Date]),Table_BDD[[Horodatage ouverture]:[Heure derniere valeur]],AB$2)</f>
        <v>984.33</v>
      </c>
      <c r="AH80" s="32">
        <f>IF(VLOOKUP(_xlfn.MAXIFS(Table_BDD[Horodatage cloture],Table_BDD[Date],Table_BDD[Date]),Table_BDD[[Horodatage ouverture]:[Heure derniere valeur]],AB$2)=Table_BDD[[#This Row],[Equité après trade]],VLOOKUP(_xlfn.MAXIFS(Table_BDD[Horodatage cloture],Table_BDD[Date],Table_BDD[Date]),Table_BDD[[Horodatage ouverture]:[Heure derniere valeur]],AB$2),0)</f>
        <v>0</v>
      </c>
      <c r="AI80" s="32" t="e">
        <f>IF(Table_BDD[[#This Row],[Valeur fin de journée unique]]=0,#N/A,Table_BDD[[#This Row],[Valeur fin de journée unique]])</f>
        <v>#N/A</v>
      </c>
      <c r="AJ80" s="35">
        <f>IF(Table_BDD[[#This Row],[Position]]="","",(Table_BDD[[#This Row],[Equité après trade]]-Table_BDD[[#This Row],[Equité avant trade]])/Table_BDD[[#This Row],[Equité avant trade]])</f>
        <v>-4.6196117110679771E-3</v>
      </c>
      <c r="AK80" s="35" t="str">
        <f>IFERROR(((INDEX(Table_BDD[[Trade n°]:[Valeur fin de journée unique]],Table_BDD[[#This Row],[Nb de trade du jour]]+Table_BDD[[#This Row],[Trade n°]]-1,21))-Table_BDD[[#This Row],[Valeur début de journée unique]])/Table_BDD[[#This Row],[Valeur début de journée unique]],"")</f>
        <v/>
      </c>
      <c r="AL80" s="32">
        <f>IF(Table_BDD[[#This Row],[Position]]="","",MAX(Table_BDD[[#This Row],[Cumul équité]],AL79))</f>
        <v>1052.8399999999999</v>
      </c>
      <c r="AM80" s="32">
        <f>IF(Table_BDD[[#This Row],[Position]]="","",MIN(Table_BDD[[#This Row],[Cumul équité]],AL79))</f>
        <v>989</v>
      </c>
      <c r="AN80" s="97">
        <f>IF(Table_BDD[[#This Row],[Sommet Drawdown]]&gt;AL79,"",Table_BDD[[#This Row],[Creux Drawdown]]/Table_BDD[[#This Row],[Sommet Drawdown]]-1)</f>
        <v>-6.0635994073173438E-2</v>
      </c>
      <c r="AO80" s="36">
        <f>IF(Table_BDD[[#This Row],[Position]]="","",IF(Table_BDD[[#This Row],[Type]]="buy",ROUND(Table_BDD[[#This Row],[Lvl Sortie]]-Table_BDD[[#This Row],[Lvl Entrée]],1),ROUND(Table_BDD[[#This Row],[Lvl Entrée]]-Table_BDD[[#This Row],[Lvl Sortie]],1)))</f>
        <v>-10</v>
      </c>
      <c r="AP80" s="36" t="str">
        <f>IF(Table_BDD[[#This Row],[Points]]&gt;0,Table_BDD[[#This Row],[Points]],"")</f>
        <v/>
      </c>
      <c r="AQ80" s="36">
        <f>IF(Table_BDD[[#This Row],[Points]]&lt;0,Table_BDD[[#This Row],[Points]],"")</f>
        <v>-10</v>
      </c>
      <c r="AR80" s="36">
        <f>SUM($AO$4:AO80)</f>
        <v>-23.79999999999999</v>
      </c>
      <c r="AS80" s="68">
        <f>IF(Table_BDD[[#This Row],[Position]]="","",IF(Table_BDD[[#This Row],[Conformité]]="Conforme",1,0))</f>
        <v>0</v>
      </c>
      <c r="AT80" s="68">
        <f>IF(Table_BDD[[#This Row],[Position]]="","",IF(Table_BDD[[#This Row],[Conformité]]="Non conforme",1,0))</f>
        <v>1</v>
      </c>
      <c r="AU80" s="37" t="s">
        <v>17</v>
      </c>
      <c r="AV80" s="37"/>
      <c r="AW80" s="37"/>
      <c r="AX80" s="37">
        <v>0</v>
      </c>
      <c r="AY80" s="37">
        <v>0</v>
      </c>
      <c r="AZ80" s="37">
        <v>0</v>
      </c>
      <c r="BA80" s="40" t="str">
        <f>IF(Table_BDD[[#This Row],[Position]]="","Sans objet",IF(AND(Table_BDD[[#This Row],[Type]]="sell",Table_BDD[[#This Row],[S / L]]&lt;Table_BDD[[#This Row],[Lvl Entrée]],Table_BDD[[#This Row],[Lvl Sortie]]&lt;=Table_BDD[[#This Row],[S / L]]+2,Table_BDD[[#This Row],[Lvl Sortie]]&lt;Table_BDD[[#This Row],[Lvl Entrée]]-19),"Oui",IF(AND(Table_BDD[[#This Row],[Type]]="buy",Table_BDD[[#This Row],[S / L]]&gt;Table_BDD[[#This Row],[Lvl Entrée]],Table_BDD[[#This Row],[Lvl Sortie]]&gt;=Table_BDD[[#This Row],[S / L]]-2,Table_BDD[[#This Row],[S / L]]&gt;Table_BDD[[#This Row],[Lvl Entrée]]+19),"Oui","Non")))</f>
        <v>Non</v>
      </c>
      <c r="BB80" s="40" t="str">
        <f>IF(Table_BDD[[#This Row],[Position]]="","Sans objet",IF(AND(Table_BDD[[#This Row],[Type]]="sell",Table_BDD[[#This Row],[S / L]]&lt;Table_BDD[[#This Row],[Lvl Entrée]],Table_BDD[[#This Row],[Points]]&gt;=-1),"Oui",IF(AND(Table_BDD[[#This Row],[Type]]="sell",Table_BDD[[#This Row],[S / L]]&gt;Table_BDD[[#This Row],[Lvl Entrée]]),"Non",IF(AND(Table_BDD[[#This Row],[Type]]="buy",Table_BDD[[#This Row],[S / L]]&lt;Table_BDD[[#This Row],[Lvl Entrée]]),"Non",IF(AND(Table_BDD[[#This Row],[Type]]="buy",Table_BDD[[#This Row],[S / L]]&gt;Table_BDD[[#This Row],[Lvl Entrée]],Table_BDD[[#This Row],[Points]]&gt;=-1),"Oui")))))</f>
        <v>Non</v>
      </c>
      <c r="BC80" s="40" t="str">
        <f>IF(Table_BDD[[#This Row],[Position]]="","Sans objet",IF(Table_BDD[[#This Row],[T / P]]="","Non",IF(AND(Table_BDD[[#This Row],[Type]]="sell",Table_BDD[[#This Row],[Lvl Sortie]]&lt;=Table_BDD[[#This Row],[T / P]]),"Oui",IF(AND(Table_BDD[[#This Row],[Type]]="buy",Table_BDD[[#This Row],[Lvl Sortie]]&gt;=Table_BDD[[#This Row],[T / P]]),"Oui","Non"))))</f>
        <v>Non</v>
      </c>
      <c r="BD80" s="91">
        <f t="array" ref="BD80">IFERROR(INDEX(downloadFile[#All],MATCH(Table_BDD[[#This Row],[Date]],downloadFile[[#All],[Column1]],0),2),BD79)</f>
        <v>1.0951</v>
      </c>
      <c r="BE80" s="89">
        <f>IF(Table_BDD[[#This Row],[Position]]="","",IF(Table_BDD[[#This Row],[Symbole]]="UsaInd",(Table_BDD[[#This Row],[Volume]]*Table_BDD[[#This Row],[Lvl Entrée]])/(Table_BDD[[#This Row],[Equité avant trade]]*Table_BDD[[#This Row],[EUR/USD]]),IF(Table_BDD[[#This Row],[Symbole]]="Ger30",(Table_BDD[[#This Row],[Volume]]*Table_BDD[[#This Row],[Lvl Entrée]])/Table_BDD[[#This Row],[Equité avant trade]],)))</f>
        <v>13.441290624321866</v>
      </c>
      <c r="BF80" s="38">
        <f>IF(Table_BDD[[#This Row],[Position]]="","",IF(Table_BDD[[#This Row],[Conformité]]="Non conforme",0,(MROUND(3*((Table_BDD[[#This Row],[Conviction]]+Table_BDD[[#This Row],[Timing]]+Table_BDD[[#This Row],[Sortie]])+1)-2,1))))</f>
        <v>0</v>
      </c>
      <c r="BG80" s="38" t="str">
        <f>IF(Table_BDD[[#This Row],[Position]]="","",IF(Table_BDD[[#This Row],[Points]]&lt;-5,"--",IF(AND(Table_BDD[[#This Row],[Points]]&gt;=-5,Table_BDD[[#This Row],[Points]]&lt;-1.5),"-",IF(AND(Table_BDD[[#This Row],[Points]]&gt;=-1.5,Table_BDD[[#This Row],[Points]]&lt;1.5),"0",IF(AND(Table_BDD[[#This Row],[Points]]&gt;=1.5,Table_BDD[[#This Row],[Points]]&lt;=70),"+",IF(Table_BDD[[#This Row],[Points]]&gt;70,"++"))))))</f>
        <v>--</v>
      </c>
      <c r="BH80" s="37" t="str">
        <f>IF(Table_BDD[[#This Row],[Position]]="","",IF(Table_BDD[[#This Row],[Points]]&gt;0,"Gagnant",IF(Table_BDD[[#This Row],[Points]]=0,"Flat","Perdant")))</f>
        <v>Perdant</v>
      </c>
      <c r="BI80" s="40">
        <f>IF(Table_BDD[[#This Row],[Position]]="","",IF(Table_BDD[[#This Row],[Résultat]]="Gagnant",1,0))</f>
        <v>0</v>
      </c>
      <c r="BJ80" s="40">
        <f>IF(Table_BDD[[#This Row],[Position]]="","",IF(Table_BDD[[#This Row],[Résultat]]="Perdant",1,0))</f>
        <v>1</v>
      </c>
      <c r="BK80" s="40"/>
      <c r="BL80" s="145">
        <f>IF(Table_BDD[[#This Row],[T / P]]="","",Table_BDD[[#This Row],[T / P]])</f>
        <v>29200.41</v>
      </c>
      <c r="BM80" s="147"/>
      <c r="BN80" s="147"/>
      <c r="BO80" s="147"/>
      <c r="BP80" s="147"/>
      <c r="BQ80" s="127"/>
    </row>
    <row r="81" spans="1:69" x14ac:dyDescent="0.2">
      <c r="A81" s="93">
        <v>43871.914259259262</v>
      </c>
      <c r="B81" s="94">
        <v>259716178</v>
      </c>
      <c r="C81" s="37" t="s">
        <v>8</v>
      </c>
      <c r="D81" s="37" t="s">
        <v>10</v>
      </c>
      <c r="E81" s="37">
        <v>0.5</v>
      </c>
      <c r="F81" s="95">
        <v>29254.2</v>
      </c>
      <c r="G81" s="95">
        <v>29264.2</v>
      </c>
      <c r="H81" s="95">
        <v>29154.2</v>
      </c>
      <c r="I81" s="93">
        <v>43871.914895833332</v>
      </c>
      <c r="J81" s="95">
        <v>29264.400000000001</v>
      </c>
      <c r="K81" s="95">
        <v>0</v>
      </c>
      <c r="L81" s="95">
        <v>0</v>
      </c>
      <c r="M81" s="32">
        <v>-4.67</v>
      </c>
      <c r="N81" s="148">
        <f>IF(Table_BDD[[#This Row],[Position]]="","",ROW()-3)</f>
        <v>78</v>
      </c>
      <c r="O81" s="32">
        <f>SUM($L$4:M81)</f>
        <v>-15.669999999999972</v>
      </c>
      <c r="P81" s="32">
        <f>Table_BDD[[#This Row],[Equité avant trade]]+Table_BDD[[#This Row],[Profit]]+Table_BDD[[#This Row],[Echange]]</f>
        <v>984.33</v>
      </c>
      <c r="Q81" s="52">
        <f>INT(Table_BDD[[#This Row],[Horodatage cloture]])</f>
        <v>43871</v>
      </c>
      <c r="R81" s="34">
        <f>WEEKNUM(Table_BDD[[#This Row],[Horodatage cloture]],2)</f>
        <v>7</v>
      </c>
      <c r="S81" s="61">
        <f>WEEKDAY(Table_BDD[[#This Row],[Horodatage cloture]])</f>
        <v>2</v>
      </c>
      <c r="T81" s="63">
        <f>HOUR(Table_BDD[[#This Row],[Horodatage cloture]])</f>
        <v>21</v>
      </c>
      <c r="U81" s="68">
        <f>IF(Table_BDD[[#This Row],[Position]]="","",IF(Table_BDD[[#This Row],[Valeur début de journée unique]]&lt;&gt;0,1,0))</f>
        <v>0</v>
      </c>
      <c r="V81" s="68" t="str">
        <f>IF(Table_BDD[[#This Row],[Nb de séance de trading]]=1,COUNTIF(Table_BDD[Date],Table_BDD[[#This Row],[Date]]),"")</f>
        <v/>
      </c>
      <c r="W81" s="33">
        <f>IF(Table_BDD[[#This Row],[Position]]="","",IF(Table_BDD[[#This Row],[Type]]="buy",ROUND(Table_BDD[[#This Row],[Lvl Entrée]]-Table_BDD[[#This Row],[S / L]],1),ROUND(Table_BDD[[#This Row],[S / L]]-Table_BDD[[#This Row],[Lvl Entrée]],1)))</f>
        <v>10</v>
      </c>
      <c r="X81" s="33">
        <f>IF(Table_BDD[[#This Row],[Position]]="","",IF(Table_BDD[[#This Row],[T / P]]=0,200,IF(Table_BDD[[#This Row],[Type]]="buy",ROUND(Table_BDD[[#This Row],[T / P]]-Table_BDD[[#This Row],[Lvl Entrée]],1),ROUND(Table_BDD[[#This Row],[Lvl Entrée]]-Table_BDD[[#This Row],[T / P]],1))))</f>
        <v>100</v>
      </c>
      <c r="Y81" s="34">
        <f>IF(Table_BDD[[#This Row],[Position]]="","",IF(Table_BDD[[#This Row],[Ecart du SL]]&gt;0,ROUND(ABS(Table_BDD[[#This Row],[Ecart du TP]])/ABS(Table_BDD[[#This Row],[Ecart du SL]]),1),ROUND(ABS(Table_BDD[[#This Row],[Ecart du TP]])/10,1)))</f>
        <v>10</v>
      </c>
      <c r="Z81" s="34">
        <f>IF(Table_BDD[[#This Row],[Position]]="","",IF(Table_BDD[[#This Row],[Ecart du SL]]&lt;0,IF(AND(Table_BDD[[#This Row],[Profit]]&gt;0,Table_BDD[[#This Row],[Type]]="sell"),ROUND((Table_BDD[[#This Row],[Lvl Entrée]]-Table_BDD[[#This Row],[Lvl Sortie]])/(10),1),IF(AND(Table_BDD[[#This Row],[Profit]]&gt;0,Table_BDD[[#This Row],[Type]]="buy"),ROUND((Table_BDD[[#This Row],[Lvl Sortie]]-Table_BDD[[#This Row],[Lvl Entrée]])/(10),1),)),IF(AND(Table_BDD[[#This Row],[Profit]]&gt;0,Table_BDD[[#This Row],[Type]]="sell"),ROUND((Table_BDD[[#This Row],[Lvl Entrée]]-Table_BDD[[#This Row],[Lvl Sortie]])/(Table_BDD[[#This Row],[S / L]]-Table_BDD[[#This Row],[Lvl Entrée]]),1),IF(AND(Table_BDD[[#This Row],[Profit]]&gt;0,Table_BDD[[#This Row],[Type]]="buy"),ROUND((Table_BDD[[#This Row],[Lvl Sortie]]-Table_BDD[[#This Row],[Lvl Entrée]])/(Table_BDD[[#This Row],[Lvl Entrée]]-Table_BDD[[#This Row],[S / L]]),1),ROUND(Table_BDD[[#This Row],[Points]]/10,1)))))</f>
        <v>-1</v>
      </c>
      <c r="AA81" s="32">
        <f>IF(Table_BDD[[#This Row],[Position]]="",AA80,Table_BDD[[#This Row],[Equité après trade]]-Table_BDD[[#This Row],[Profit]]-Table_BDD[[#This Row],[Echange]])</f>
        <v>989</v>
      </c>
      <c r="AB81" s="149">
        <f>$B$1+SUM($L$4:M81)</f>
        <v>984.33</v>
      </c>
      <c r="AC81" s="150">
        <f>IF(Table_BDD[[#This Row],[Position]]="","",_xlfn.MINIFS(Table_BDD[Horodatage ouverture],Table_BDD[Date],Table_BDD[Date]))</f>
        <v>43871.627708333333</v>
      </c>
      <c r="AD81" s="149">
        <f>VLOOKUP(_xlfn.MINIFS(Table_BDD[Horodatage ouverture],Table_BDD[Date],Table_BDD[Date]),Table_BDD[[Horodatage ouverture]:[Heure derniere valeur]],AA$2)</f>
        <v>1047.8899999999999</v>
      </c>
      <c r="AE81" s="149">
        <f>IF(VLOOKUP(_xlfn.MINIFS(Table_BDD[Horodatage ouverture],Table_BDD[Date],Table_BDD[Date]),Table_BDD[[Horodatage ouverture]:[Heure derniere valeur]],AA$2)=Table_BDD[[#This Row],[Equité avant trade]],VLOOKUP(_xlfn.MINIFS(Table_BDD[Horodatage ouverture],Table_BDD[Date],Table_BDD[Date]),Table_BDD[[Horodatage ouverture]:[Heure derniere valeur]],AA$2),0)</f>
        <v>0</v>
      </c>
      <c r="AF81" s="150">
        <f>IF(Table_BDD[[#This Row],[Position]]="","",_xlfn.MAXIFS(Table_BDD[Horodatage ouverture],Table_BDD[Date],Table_BDD[Date]))</f>
        <v>43871.914259259262</v>
      </c>
      <c r="AG81" s="32">
        <f>VLOOKUP(_xlfn.MAXIFS(Table_BDD[Horodatage cloture],Table_BDD[Date],Table_BDD[Date]),Table_BDD[[Horodatage ouverture]:[Heure derniere valeur]],AB$2)</f>
        <v>984.33</v>
      </c>
      <c r="AH81" s="32">
        <f>IF(VLOOKUP(_xlfn.MAXIFS(Table_BDD[Horodatage cloture],Table_BDD[Date],Table_BDD[Date]),Table_BDD[[Horodatage ouverture]:[Heure derniere valeur]],AB$2)=Table_BDD[[#This Row],[Equité après trade]],VLOOKUP(_xlfn.MAXIFS(Table_BDD[Horodatage cloture],Table_BDD[Date],Table_BDD[Date]),Table_BDD[[Horodatage ouverture]:[Heure derniere valeur]],AB$2),0)</f>
        <v>984.33</v>
      </c>
      <c r="AI81" s="32">
        <f>IF(Table_BDD[[#This Row],[Valeur fin de journée unique]]=0,#N/A,Table_BDD[[#This Row],[Valeur fin de journée unique]])</f>
        <v>984.33</v>
      </c>
      <c r="AJ81" s="35">
        <f>IF(Table_BDD[[#This Row],[Position]]="","",(Table_BDD[[#This Row],[Equité après trade]]-Table_BDD[[#This Row],[Equité avant trade]])/Table_BDD[[#This Row],[Equité avant trade]])</f>
        <v>-4.7219413549039017E-3</v>
      </c>
      <c r="AK81" s="35" t="str">
        <f>IFERROR(((INDEX(Table_BDD[[Trade n°]:[Valeur fin de journée unique]],Table_BDD[[#This Row],[Nb de trade du jour]]+Table_BDD[[#This Row],[Trade n°]]-1,21))-Table_BDD[[#This Row],[Valeur début de journée unique]])/Table_BDD[[#This Row],[Valeur début de journée unique]],"")</f>
        <v/>
      </c>
      <c r="AL81" s="32">
        <f>IF(Table_BDD[[#This Row],[Position]]="","",MAX(Table_BDD[[#This Row],[Cumul équité]],AL80))</f>
        <v>1052.8399999999999</v>
      </c>
      <c r="AM81" s="32">
        <f>IF(Table_BDD[[#This Row],[Position]]="","",MIN(Table_BDD[[#This Row],[Cumul équité]],AL80))</f>
        <v>984.33</v>
      </c>
      <c r="AN81" s="97">
        <f>IF(Table_BDD[[#This Row],[Sommet Drawdown]]&gt;AL80,"",Table_BDD[[#This Row],[Creux Drawdown]]/Table_BDD[[#This Row],[Sommet Drawdown]]-1)</f>
        <v>-6.5071615820067485E-2</v>
      </c>
      <c r="AO81" s="36">
        <f>IF(Table_BDD[[#This Row],[Position]]="","",IF(Table_BDD[[#This Row],[Type]]="buy",ROUND(Table_BDD[[#This Row],[Lvl Sortie]]-Table_BDD[[#This Row],[Lvl Entrée]],1),ROUND(Table_BDD[[#This Row],[Lvl Entrée]]-Table_BDD[[#This Row],[Lvl Sortie]],1)))</f>
        <v>-10.199999999999999</v>
      </c>
      <c r="AP81" s="36" t="str">
        <f>IF(Table_BDD[[#This Row],[Points]]&gt;0,Table_BDD[[#This Row],[Points]],"")</f>
        <v/>
      </c>
      <c r="AQ81" s="36">
        <f>IF(Table_BDD[[#This Row],[Points]]&lt;0,Table_BDD[[#This Row],[Points]],"")</f>
        <v>-10.199999999999999</v>
      </c>
      <c r="AR81" s="36">
        <f>SUM($AO$4:AO81)</f>
        <v>-33.999999999999986</v>
      </c>
      <c r="AS81" s="68">
        <f>IF(Table_BDD[[#This Row],[Position]]="","",IF(Table_BDD[[#This Row],[Conformité]]="Conforme",1,0))</f>
        <v>0</v>
      </c>
      <c r="AT81" s="68">
        <f>IF(Table_BDD[[#This Row],[Position]]="","",IF(Table_BDD[[#This Row],[Conformité]]="Non conforme",1,0))</f>
        <v>1</v>
      </c>
      <c r="AU81" s="37" t="s">
        <v>17</v>
      </c>
      <c r="AV81" s="37"/>
      <c r="AW81" s="37"/>
      <c r="AX81" s="37">
        <v>0</v>
      </c>
      <c r="AY81" s="37">
        <v>0</v>
      </c>
      <c r="AZ81" s="37">
        <v>0</v>
      </c>
      <c r="BA81" s="40" t="str">
        <f>IF(Table_BDD[[#This Row],[Position]]="","Sans objet",IF(AND(Table_BDD[[#This Row],[Type]]="sell",Table_BDD[[#This Row],[S / L]]&lt;Table_BDD[[#This Row],[Lvl Entrée]],Table_BDD[[#This Row],[Lvl Sortie]]&lt;=Table_BDD[[#This Row],[S / L]]+2,Table_BDD[[#This Row],[Lvl Sortie]]&lt;Table_BDD[[#This Row],[Lvl Entrée]]-19),"Oui",IF(AND(Table_BDD[[#This Row],[Type]]="buy",Table_BDD[[#This Row],[S / L]]&gt;Table_BDD[[#This Row],[Lvl Entrée]],Table_BDD[[#This Row],[Lvl Sortie]]&gt;=Table_BDD[[#This Row],[S / L]]-2,Table_BDD[[#This Row],[S / L]]&gt;Table_BDD[[#This Row],[Lvl Entrée]]+19),"Oui","Non")))</f>
        <v>Non</v>
      </c>
      <c r="BB81" s="40" t="str">
        <f>IF(Table_BDD[[#This Row],[Position]]="","Sans objet",IF(AND(Table_BDD[[#This Row],[Type]]="sell",Table_BDD[[#This Row],[S / L]]&lt;Table_BDD[[#This Row],[Lvl Entrée]],Table_BDD[[#This Row],[Points]]&gt;=-1),"Oui",IF(AND(Table_BDD[[#This Row],[Type]]="sell",Table_BDD[[#This Row],[S / L]]&gt;Table_BDD[[#This Row],[Lvl Entrée]]),"Non",IF(AND(Table_BDD[[#This Row],[Type]]="buy",Table_BDD[[#This Row],[S / L]]&lt;Table_BDD[[#This Row],[Lvl Entrée]]),"Non",IF(AND(Table_BDD[[#This Row],[Type]]="buy",Table_BDD[[#This Row],[S / L]]&gt;Table_BDD[[#This Row],[Lvl Entrée]],Table_BDD[[#This Row],[Points]]&gt;=-1),"Oui")))))</f>
        <v>Non</v>
      </c>
      <c r="BC81" s="40" t="str">
        <f>IF(Table_BDD[[#This Row],[Position]]="","Sans objet",IF(Table_BDD[[#This Row],[T / P]]="","Non",IF(AND(Table_BDD[[#This Row],[Type]]="sell",Table_BDD[[#This Row],[Lvl Sortie]]&lt;=Table_BDD[[#This Row],[T / P]]),"Oui",IF(AND(Table_BDD[[#This Row],[Type]]="buy",Table_BDD[[#This Row],[Lvl Sortie]]&gt;=Table_BDD[[#This Row],[T / P]]),"Oui","Non"))))</f>
        <v>Non</v>
      </c>
      <c r="BD81" s="91">
        <f t="array" ref="BD81">IFERROR(INDEX(downloadFile[#All],MATCH(Table_BDD[[#This Row],[Date]],downloadFile[[#All],[Column1]],0),2),BD80)</f>
        <v>1.0951</v>
      </c>
      <c r="BE81" s="89">
        <f>IF(Table_BDD[[#This Row],[Position]]="","",IF(Table_BDD[[#This Row],[Symbole]]="UsaInd",(Table_BDD[[#This Row],[Volume]]*Table_BDD[[#This Row],[Lvl Entrée]])/(Table_BDD[[#This Row],[Equité avant trade]]*Table_BDD[[#This Row],[EUR/USD]]),IF(Table_BDD[[#This Row],[Symbole]]="Ger30",(Table_BDD[[#This Row],[Volume]]*Table_BDD[[#This Row],[Lvl Entrée]])/Table_BDD[[#This Row],[Equité avant trade]],)))</f>
        <v>13.505422029319133</v>
      </c>
      <c r="BF81" s="38">
        <f>IF(Table_BDD[[#This Row],[Position]]="","",IF(Table_BDD[[#This Row],[Conformité]]="Non conforme",0,(MROUND(3*((Table_BDD[[#This Row],[Conviction]]+Table_BDD[[#This Row],[Timing]]+Table_BDD[[#This Row],[Sortie]])+1)-2,1))))</f>
        <v>0</v>
      </c>
      <c r="BG81" s="38" t="str">
        <f>IF(Table_BDD[[#This Row],[Position]]="","",IF(Table_BDD[[#This Row],[Points]]&lt;-5,"--",IF(AND(Table_BDD[[#This Row],[Points]]&gt;=-5,Table_BDD[[#This Row],[Points]]&lt;-1.5),"-",IF(AND(Table_BDD[[#This Row],[Points]]&gt;=-1.5,Table_BDD[[#This Row],[Points]]&lt;1.5),"0",IF(AND(Table_BDD[[#This Row],[Points]]&gt;=1.5,Table_BDD[[#This Row],[Points]]&lt;=70),"+",IF(Table_BDD[[#This Row],[Points]]&gt;70,"++"))))))</f>
        <v>--</v>
      </c>
      <c r="BH81" s="37" t="str">
        <f>IF(Table_BDD[[#This Row],[Position]]="","",IF(Table_BDD[[#This Row],[Points]]&gt;0,"Gagnant",IF(Table_BDD[[#This Row],[Points]]=0,"Flat","Perdant")))</f>
        <v>Perdant</v>
      </c>
      <c r="BI81" s="40">
        <f>IF(Table_BDD[[#This Row],[Position]]="","",IF(Table_BDD[[#This Row],[Résultat]]="Gagnant",1,0))</f>
        <v>0</v>
      </c>
      <c r="BJ81" s="40">
        <f>IF(Table_BDD[[#This Row],[Position]]="","",IF(Table_BDD[[#This Row],[Résultat]]="Perdant",1,0))</f>
        <v>1</v>
      </c>
      <c r="BK81" s="40"/>
      <c r="BL81" s="145">
        <f>IF(Table_BDD[[#This Row],[T / P]]="","",Table_BDD[[#This Row],[T / P]])</f>
        <v>29154.2</v>
      </c>
      <c r="BM81" s="147"/>
      <c r="BN81" s="147"/>
      <c r="BO81" s="147"/>
      <c r="BP81" s="147"/>
      <c r="BQ81" s="127"/>
    </row>
    <row r="82" spans="1:69" x14ac:dyDescent="0.2">
      <c r="A82" s="93">
        <v>43872.646979166668</v>
      </c>
      <c r="B82" s="94">
        <v>259755497</v>
      </c>
      <c r="C82" s="37" t="s">
        <v>8</v>
      </c>
      <c r="D82" s="37" t="s">
        <v>9</v>
      </c>
      <c r="E82" s="37">
        <v>0.5</v>
      </c>
      <c r="F82" s="95">
        <v>29384.55</v>
      </c>
      <c r="G82" s="95">
        <v>29376.74</v>
      </c>
      <c r="H82" s="95"/>
      <c r="I82" s="93">
        <v>43872.647037037037</v>
      </c>
      <c r="J82" s="95">
        <v>29372.45</v>
      </c>
      <c r="K82" s="95">
        <v>0</v>
      </c>
      <c r="L82" s="95">
        <v>0</v>
      </c>
      <c r="M82" s="32">
        <v>-5.54</v>
      </c>
      <c r="N82" s="148">
        <f>IF(Table_BDD[[#This Row],[Position]]="","",ROW()-3)</f>
        <v>79</v>
      </c>
      <c r="O82" s="32">
        <f>SUM($L$4:M82)</f>
        <v>-21.209999999999972</v>
      </c>
      <c r="P82" s="32">
        <f>Table_BDD[[#This Row],[Equité avant trade]]+Table_BDD[[#This Row],[Profit]]+Table_BDD[[#This Row],[Echange]]</f>
        <v>978.79000000000008</v>
      </c>
      <c r="Q82" s="52">
        <f>INT(Table_BDD[[#This Row],[Horodatage cloture]])</f>
        <v>43872</v>
      </c>
      <c r="R82" s="34">
        <f>WEEKNUM(Table_BDD[[#This Row],[Horodatage cloture]],2)</f>
        <v>7</v>
      </c>
      <c r="S82" s="61">
        <f>WEEKDAY(Table_BDD[[#This Row],[Horodatage cloture]])</f>
        <v>3</v>
      </c>
      <c r="T82" s="63">
        <f>HOUR(Table_BDD[[#This Row],[Horodatage cloture]])</f>
        <v>15</v>
      </c>
      <c r="U82" s="68">
        <f>IF(Table_BDD[[#This Row],[Position]]="","",IF(Table_BDD[[#This Row],[Valeur début de journée unique]]&lt;&gt;0,1,0))</f>
        <v>1</v>
      </c>
      <c r="V82" s="68">
        <f>IF(Table_BDD[[#This Row],[Nb de séance de trading]]=1,COUNTIF(Table_BDD[Date],Table_BDD[[#This Row],[Date]]),"")</f>
        <v>14</v>
      </c>
      <c r="W82" s="33">
        <f>IF(Table_BDD[[#This Row],[Position]]="","",IF(Table_BDD[[#This Row],[Type]]="buy",ROUND(Table_BDD[[#This Row],[Lvl Entrée]]-Table_BDD[[#This Row],[S / L]],1),ROUND(Table_BDD[[#This Row],[S / L]]-Table_BDD[[#This Row],[Lvl Entrée]],1)))</f>
        <v>7.8</v>
      </c>
      <c r="X82" s="33">
        <f>IF(Table_BDD[[#This Row],[Position]]="","",IF(Table_BDD[[#This Row],[T / P]]=0,200,IF(Table_BDD[[#This Row],[Type]]="buy",ROUND(Table_BDD[[#This Row],[T / P]]-Table_BDD[[#This Row],[Lvl Entrée]],1),ROUND(Table_BDD[[#This Row],[Lvl Entrée]]-Table_BDD[[#This Row],[T / P]],1))))</f>
        <v>200</v>
      </c>
      <c r="Y82" s="34">
        <f>IF(Table_BDD[[#This Row],[Position]]="","",IF(Table_BDD[[#This Row],[Ecart du SL]]&gt;0,ROUND(ABS(Table_BDD[[#This Row],[Ecart du TP]])/ABS(Table_BDD[[#This Row],[Ecart du SL]]),1),ROUND(ABS(Table_BDD[[#This Row],[Ecart du TP]])/10,1)))</f>
        <v>25.6</v>
      </c>
      <c r="Z82" s="34">
        <f>IF(Table_BDD[[#This Row],[Position]]="","",IF(Table_BDD[[#This Row],[Ecart du SL]]&lt;0,IF(AND(Table_BDD[[#This Row],[Profit]]&gt;0,Table_BDD[[#This Row],[Type]]="sell"),ROUND((Table_BDD[[#This Row],[Lvl Entrée]]-Table_BDD[[#This Row],[Lvl Sortie]])/(10),1),IF(AND(Table_BDD[[#This Row],[Profit]]&gt;0,Table_BDD[[#This Row],[Type]]="buy"),ROUND((Table_BDD[[#This Row],[Lvl Sortie]]-Table_BDD[[#This Row],[Lvl Entrée]])/(10),1),)),IF(AND(Table_BDD[[#This Row],[Profit]]&gt;0,Table_BDD[[#This Row],[Type]]="sell"),ROUND((Table_BDD[[#This Row],[Lvl Entrée]]-Table_BDD[[#This Row],[Lvl Sortie]])/(Table_BDD[[#This Row],[S / L]]-Table_BDD[[#This Row],[Lvl Entrée]]),1),IF(AND(Table_BDD[[#This Row],[Profit]]&gt;0,Table_BDD[[#This Row],[Type]]="buy"),ROUND((Table_BDD[[#This Row],[Lvl Sortie]]-Table_BDD[[#This Row],[Lvl Entrée]])/(Table_BDD[[#This Row],[Lvl Entrée]]-Table_BDD[[#This Row],[S / L]]),1),ROUND(Table_BDD[[#This Row],[Points]]/10,1)))))</f>
        <v>-1.2</v>
      </c>
      <c r="AA82" s="32">
        <f>IF(Table_BDD[[#This Row],[Position]]="",AA81,Table_BDD[[#This Row],[Equité après trade]]-Table_BDD[[#This Row],[Profit]]-Table_BDD[[#This Row],[Echange]])</f>
        <v>984.33</v>
      </c>
      <c r="AB82" s="149">
        <f>$B$1+SUM($L$4:M82)</f>
        <v>978.79000000000008</v>
      </c>
      <c r="AC82" s="150">
        <f>IF(Table_BDD[[#This Row],[Position]]="","",_xlfn.MINIFS(Table_BDD[Horodatage ouverture],Table_BDD[Date],Table_BDD[Date]))</f>
        <v>43872.646979166668</v>
      </c>
      <c r="AD82" s="149">
        <f>VLOOKUP(_xlfn.MINIFS(Table_BDD[Horodatage ouverture],Table_BDD[Date],Table_BDD[Date]),Table_BDD[[Horodatage ouverture]:[Heure derniere valeur]],AA$2)</f>
        <v>984.33</v>
      </c>
      <c r="AE82" s="149">
        <f>IF(VLOOKUP(_xlfn.MINIFS(Table_BDD[Horodatage ouverture],Table_BDD[Date],Table_BDD[Date]),Table_BDD[[Horodatage ouverture]:[Heure derniere valeur]],AA$2)=Table_BDD[[#This Row],[Equité avant trade]],VLOOKUP(_xlfn.MINIFS(Table_BDD[Horodatage ouverture],Table_BDD[Date],Table_BDD[Date]),Table_BDD[[Horodatage ouverture]:[Heure derniere valeur]],AA$2),0)</f>
        <v>984.33</v>
      </c>
      <c r="AF82" s="150">
        <f>IF(Table_BDD[[#This Row],[Position]]="","",_xlfn.MAXIFS(Table_BDD[Horodatage ouverture],Table_BDD[Date],Table_BDD[Date]))</f>
        <v>43872.882106481484</v>
      </c>
      <c r="AG82" s="32">
        <f>VLOOKUP(_xlfn.MAXIFS(Table_BDD[Horodatage cloture],Table_BDD[Date],Table_BDD[Date]),Table_BDD[[Horodatage ouverture]:[Heure derniere valeur]],AB$2)</f>
        <v>921.11</v>
      </c>
      <c r="AH82" s="32">
        <f>IF(VLOOKUP(_xlfn.MAXIFS(Table_BDD[Horodatage cloture],Table_BDD[Date],Table_BDD[Date]),Table_BDD[[Horodatage ouverture]:[Heure derniere valeur]],AB$2)=Table_BDD[[#This Row],[Equité après trade]],VLOOKUP(_xlfn.MAXIFS(Table_BDD[Horodatage cloture],Table_BDD[Date],Table_BDD[Date]),Table_BDD[[Horodatage ouverture]:[Heure derniere valeur]],AB$2),0)</f>
        <v>0</v>
      </c>
      <c r="AI82" s="32" t="e">
        <f>IF(Table_BDD[[#This Row],[Valeur fin de journée unique]]=0,#N/A,Table_BDD[[#This Row],[Valeur fin de journée unique]])</f>
        <v>#N/A</v>
      </c>
      <c r="AJ82" s="35">
        <f>IF(Table_BDD[[#This Row],[Position]]="","",(Table_BDD[[#This Row],[Equité après trade]]-Table_BDD[[#This Row],[Equité avant trade]])/Table_BDD[[#This Row],[Equité avant trade]])</f>
        <v>-5.6281937967957527E-3</v>
      </c>
      <c r="AK82" s="35">
        <f>IFERROR(((INDEX(Table_BDD[[Trade n°]:[Valeur fin de journée unique]],Table_BDD[[#This Row],[Nb de trade du jour]]+Table_BDD[[#This Row],[Trade n°]]-1,21))-Table_BDD[[#This Row],[Valeur début de journée unique]])/Table_BDD[[#This Row],[Valeur début de journée unique]],"")</f>
        <v>-6.4226428128777976E-2</v>
      </c>
      <c r="AL82" s="32">
        <f>IF(Table_BDD[[#This Row],[Position]]="","",MAX(Table_BDD[[#This Row],[Cumul équité]],AL81))</f>
        <v>1052.8399999999999</v>
      </c>
      <c r="AM82" s="32">
        <f>IF(Table_BDD[[#This Row],[Position]]="","",MIN(Table_BDD[[#This Row],[Cumul équité]],AL81))</f>
        <v>978.79000000000008</v>
      </c>
      <c r="AN82" s="97">
        <f>IF(Table_BDD[[#This Row],[Sommet Drawdown]]&gt;AL81,"",Table_BDD[[#This Row],[Creux Drawdown]]/Table_BDD[[#This Row],[Sommet Drawdown]]-1)</f>
        <v>-7.0333573952357287E-2</v>
      </c>
      <c r="AO82" s="36">
        <f>IF(Table_BDD[[#This Row],[Position]]="","",IF(Table_BDD[[#This Row],[Type]]="buy",ROUND(Table_BDD[[#This Row],[Lvl Sortie]]-Table_BDD[[#This Row],[Lvl Entrée]],1),ROUND(Table_BDD[[#This Row],[Lvl Entrée]]-Table_BDD[[#This Row],[Lvl Sortie]],1)))</f>
        <v>-12.1</v>
      </c>
      <c r="AP82" s="36" t="str">
        <f>IF(Table_BDD[[#This Row],[Points]]&gt;0,Table_BDD[[#This Row],[Points]],"")</f>
        <v/>
      </c>
      <c r="AQ82" s="36">
        <f>IF(Table_BDD[[#This Row],[Points]]&lt;0,Table_BDD[[#This Row],[Points]],"")</f>
        <v>-12.1</v>
      </c>
      <c r="AR82" s="36">
        <f>SUM($AO$4:AO82)</f>
        <v>-46.099999999999987</v>
      </c>
      <c r="AS82" s="68">
        <f>IF(Table_BDD[[#This Row],[Position]]="","",IF(Table_BDD[[#This Row],[Conformité]]="Conforme",1,0))</f>
        <v>0</v>
      </c>
      <c r="AT82" s="68">
        <f>IF(Table_BDD[[#This Row],[Position]]="","",IF(Table_BDD[[#This Row],[Conformité]]="Non conforme",1,0))</f>
        <v>1</v>
      </c>
      <c r="AU82" s="37" t="s">
        <v>17</v>
      </c>
      <c r="AV82" s="37"/>
      <c r="AW82" s="37"/>
      <c r="AX82" s="37">
        <v>0</v>
      </c>
      <c r="AY82" s="37">
        <v>0</v>
      </c>
      <c r="AZ82" s="37">
        <v>0</v>
      </c>
      <c r="BA82" s="40" t="str">
        <f>IF(Table_BDD[[#This Row],[Position]]="","Sans objet",IF(AND(Table_BDD[[#This Row],[Type]]="sell",Table_BDD[[#This Row],[S / L]]&lt;Table_BDD[[#This Row],[Lvl Entrée]],Table_BDD[[#This Row],[Lvl Sortie]]&lt;=Table_BDD[[#This Row],[S / L]]+2,Table_BDD[[#This Row],[Lvl Sortie]]&lt;Table_BDD[[#This Row],[Lvl Entrée]]-19),"Oui",IF(AND(Table_BDD[[#This Row],[Type]]="buy",Table_BDD[[#This Row],[S / L]]&gt;Table_BDD[[#This Row],[Lvl Entrée]],Table_BDD[[#This Row],[Lvl Sortie]]&gt;=Table_BDD[[#This Row],[S / L]]-2,Table_BDD[[#This Row],[S / L]]&gt;Table_BDD[[#This Row],[Lvl Entrée]]+19),"Oui","Non")))</f>
        <v>Non</v>
      </c>
      <c r="BB82" s="40" t="str">
        <f>IF(Table_BDD[[#This Row],[Position]]="","Sans objet",IF(AND(Table_BDD[[#This Row],[Type]]="sell",Table_BDD[[#This Row],[S / L]]&lt;Table_BDD[[#This Row],[Lvl Entrée]],Table_BDD[[#This Row],[Points]]&gt;=-1),"Oui",IF(AND(Table_BDD[[#This Row],[Type]]="sell",Table_BDD[[#This Row],[S / L]]&gt;Table_BDD[[#This Row],[Lvl Entrée]]),"Non",IF(AND(Table_BDD[[#This Row],[Type]]="buy",Table_BDD[[#This Row],[S / L]]&lt;Table_BDD[[#This Row],[Lvl Entrée]]),"Non",IF(AND(Table_BDD[[#This Row],[Type]]="buy",Table_BDD[[#This Row],[S / L]]&gt;Table_BDD[[#This Row],[Lvl Entrée]],Table_BDD[[#This Row],[Points]]&gt;=-1),"Oui")))))</f>
        <v>Non</v>
      </c>
      <c r="BC82" s="40" t="str">
        <f>IF(Table_BDD[[#This Row],[Position]]="","Sans objet",IF(Table_BDD[[#This Row],[T / P]]="","Non",IF(AND(Table_BDD[[#This Row],[Type]]="sell",Table_BDD[[#This Row],[Lvl Sortie]]&lt;=Table_BDD[[#This Row],[T / P]]),"Oui",IF(AND(Table_BDD[[#This Row],[Type]]="buy",Table_BDD[[#This Row],[Lvl Sortie]]&gt;=Table_BDD[[#This Row],[T / P]]),"Oui","Non"))))</f>
        <v>Non</v>
      </c>
      <c r="BD82" s="91">
        <f t="array" ref="BD82">IFERROR(INDEX(downloadFile[#All],MATCH(Table_BDD[[#This Row],[Date]],downloadFile[[#All],[Column1]],0),2),BD81)</f>
        <v>1.0901000000000001</v>
      </c>
      <c r="BE82" s="89">
        <f>IF(Table_BDD[[#This Row],[Position]]="","",IF(Table_BDD[[#This Row],[Symbole]]="UsaInd",(Table_BDD[[#This Row],[Volume]]*Table_BDD[[#This Row],[Lvl Entrée]])/(Table_BDD[[#This Row],[Equité avant trade]]*Table_BDD[[#This Row],[EUR/USD]]),IF(Table_BDD[[#This Row],[Symbole]]="Ger30",(Table_BDD[[#This Row],[Volume]]*Table_BDD[[#This Row],[Lvl Entrée]])/Table_BDD[[#This Row],[Equité avant trade]],)))</f>
        <v>13.692475968623729</v>
      </c>
      <c r="BF82" s="38">
        <f>IF(Table_BDD[[#This Row],[Position]]="","",IF(Table_BDD[[#This Row],[Conformité]]="Non conforme",0,(MROUND(3*((Table_BDD[[#This Row],[Conviction]]+Table_BDD[[#This Row],[Timing]]+Table_BDD[[#This Row],[Sortie]])+1)-2,1))))</f>
        <v>0</v>
      </c>
      <c r="BG82" s="38" t="str">
        <f>IF(Table_BDD[[#This Row],[Position]]="","",IF(Table_BDD[[#This Row],[Points]]&lt;-5,"--",IF(AND(Table_BDD[[#This Row],[Points]]&gt;=-5,Table_BDD[[#This Row],[Points]]&lt;-1.5),"-",IF(AND(Table_BDD[[#This Row],[Points]]&gt;=-1.5,Table_BDD[[#This Row],[Points]]&lt;1.5),"0",IF(AND(Table_BDD[[#This Row],[Points]]&gt;=1.5,Table_BDD[[#This Row],[Points]]&lt;=70),"+",IF(Table_BDD[[#This Row],[Points]]&gt;70,"++"))))))</f>
        <v>--</v>
      </c>
      <c r="BH82" s="37" t="str">
        <f>IF(Table_BDD[[#This Row],[Position]]="","",IF(Table_BDD[[#This Row],[Points]]&gt;0,"Gagnant",IF(Table_BDD[[#This Row],[Points]]=0,"Flat","Perdant")))</f>
        <v>Perdant</v>
      </c>
      <c r="BI82" s="40">
        <f>IF(Table_BDD[[#This Row],[Position]]="","",IF(Table_BDD[[#This Row],[Résultat]]="Gagnant",1,0))</f>
        <v>0</v>
      </c>
      <c r="BJ82" s="40">
        <f>IF(Table_BDD[[#This Row],[Position]]="","",IF(Table_BDD[[#This Row],[Résultat]]="Perdant",1,0))</f>
        <v>1</v>
      </c>
      <c r="BK82" s="40"/>
      <c r="BL82" s="145" t="str">
        <f>IF(Table_BDD[[#This Row],[T / P]]="","",Table_BDD[[#This Row],[T / P]])</f>
        <v/>
      </c>
      <c r="BM82" s="147"/>
      <c r="BN82" s="147"/>
      <c r="BO82" s="147"/>
      <c r="BP82" s="147"/>
      <c r="BQ82" s="127"/>
    </row>
    <row r="83" spans="1:69" x14ac:dyDescent="0.2">
      <c r="A83" s="93">
        <v>43872.64806712963</v>
      </c>
      <c r="B83" s="94">
        <v>259755997</v>
      </c>
      <c r="C83" s="37" t="s">
        <v>8</v>
      </c>
      <c r="D83" s="37" t="s">
        <v>9</v>
      </c>
      <c r="E83" s="37">
        <v>0.5</v>
      </c>
      <c r="F83" s="95">
        <v>29369.47</v>
      </c>
      <c r="G83" s="95">
        <v>29359.47</v>
      </c>
      <c r="H83" s="95">
        <v>29419.47</v>
      </c>
      <c r="I83" s="93">
        <v>43872.648634259262</v>
      </c>
      <c r="J83" s="95">
        <v>29358.49</v>
      </c>
      <c r="K83" s="95">
        <v>0</v>
      </c>
      <c r="L83" s="95">
        <v>0</v>
      </c>
      <c r="M83" s="32">
        <v>-5.03</v>
      </c>
      <c r="N83" s="148">
        <f>IF(Table_BDD[[#This Row],[Position]]="","",ROW()-3)</f>
        <v>80</v>
      </c>
      <c r="O83" s="32">
        <f>SUM($L$4:M83)</f>
        <v>-26.239999999999974</v>
      </c>
      <c r="P83" s="32">
        <f>Table_BDD[[#This Row],[Equité avant trade]]+Table_BDD[[#This Row],[Profit]]+Table_BDD[[#This Row],[Echange]]</f>
        <v>973.76</v>
      </c>
      <c r="Q83" s="52">
        <f>INT(Table_BDD[[#This Row],[Horodatage cloture]])</f>
        <v>43872</v>
      </c>
      <c r="R83" s="34">
        <f>WEEKNUM(Table_BDD[[#This Row],[Horodatage cloture]],2)</f>
        <v>7</v>
      </c>
      <c r="S83" s="61">
        <f>WEEKDAY(Table_BDD[[#This Row],[Horodatage cloture]])</f>
        <v>3</v>
      </c>
      <c r="T83" s="63">
        <f>HOUR(Table_BDD[[#This Row],[Horodatage cloture]])</f>
        <v>15</v>
      </c>
      <c r="U83" s="68">
        <f>IF(Table_BDD[[#This Row],[Position]]="","",IF(Table_BDD[[#This Row],[Valeur début de journée unique]]&lt;&gt;0,1,0))</f>
        <v>0</v>
      </c>
      <c r="V83" s="68" t="str">
        <f>IF(Table_BDD[[#This Row],[Nb de séance de trading]]=1,COUNTIF(Table_BDD[Date],Table_BDD[[#This Row],[Date]]),"")</f>
        <v/>
      </c>
      <c r="W83" s="33">
        <f>IF(Table_BDD[[#This Row],[Position]]="","",IF(Table_BDD[[#This Row],[Type]]="buy",ROUND(Table_BDD[[#This Row],[Lvl Entrée]]-Table_BDD[[#This Row],[S / L]],1),ROUND(Table_BDD[[#This Row],[S / L]]-Table_BDD[[#This Row],[Lvl Entrée]],1)))</f>
        <v>10</v>
      </c>
      <c r="X83" s="33">
        <f>IF(Table_BDD[[#This Row],[Position]]="","",IF(Table_BDD[[#This Row],[T / P]]=0,200,IF(Table_BDD[[#This Row],[Type]]="buy",ROUND(Table_BDD[[#This Row],[T / P]]-Table_BDD[[#This Row],[Lvl Entrée]],1),ROUND(Table_BDD[[#This Row],[Lvl Entrée]]-Table_BDD[[#This Row],[T / P]],1))))</f>
        <v>50</v>
      </c>
      <c r="Y83" s="34">
        <f>IF(Table_BDD[[#This Row],[Position]]="","",IF(Table_BDD[[#This Row],[Ecart du SL]]&gt;0,ROUND(ABS(Table_BDD[[#This Row],[Ecart du TP]])/ABS(Table_BDD[[#This Row],[Ecart du SL]]),1),ROUND(ABS(Table_BDD[[#This Row],[Ecart du TP]])/10,1)))</f>
        <v>5</v>
      </c>
      <c r="Z83" s="34">
        <f>IF(Table_BDD[[#This Row],[Position]]="","",IF(Table_BDD[[#This Row],[Ecart du SL]]&lt;0,IF(AND(Table_BDD[[#This Row],[Profit]]&gt;0,Table_BDD[[#This Row],[Type]]="sell"),ROUND((Table_BDD[[#This Row],[Lvl Entrée]]-Table_BDD[[#This Row],[Lvl Sortie]])/(10),1),IF(AND(Table_BDD[[#This Row],[Profit]]&gt;0,Table_BDD[[#This Row],[Type]]="buy"),ROUND((Table_BDD[[#This Row],[Lvl Sortie]]-Table_BDD[[#This Row],[Lvl Entrée]])/(10),1),)),IF(AND(Table_BDD[[#This Row],[Profit]]&gt;0,Table_BDD[[#This Row],[Type]]="sell"),ROUND((Table_BDD[[#This Row],[Lvl Entrée]]-Table_BDD[[#This Row],[Lvl Sortie]])/(Table_BDD[[#This Row],[S / L]]-Table_BDD[[#This Row],[Lvl Entrée]]),1),IF(AND(Table_BDD[[#This Row],[Profit]]&gt;0,Table_BDD[[#This Row],[Type]]="buy"),ROUND((Table_BDD[[#This Row],[Lvl Sortie]]-Table_BDD[[#This Row],[Lvl Entrée]])/(Table_BDD[[#This Row],[Lvl Entrée]]-Table_BDD[[#This Row],[S / L]]),1),ROUND(Table_BDD[[#This Row],[Points]]/10,1)))))</f>
        <v>-1.1000000000000001</v>
      </c>
      <c r="AA83" s="32">
        <f>IF(Table_BDD[[#This Row],[Position]]="",AA82,Table_BDD[[#This Row],[Equité après trade]]-Table_BDD[[#This Row],[Profit]]-Table_BDD[[#This Row],[Echange]])</f>
        <v>978.79</v>
      </c>
      <c r="AB83" s="149">
        <f>$B$1+SUM($L$4:M83)</f>
        <v>973.76</v>
      </c>
      <c r="AC83" s="150">
        <f>IF(Table_BDD[[#This Row],[Position]]="","",_xlfn.MINIFS(Table_BDD[Horodatage ouverture],Table_BDD[Date],Table_BDD[Date]))</f>
        <v>43872.646979166668</v>
      </c>
      <c r="AD83" s="149">
        <f>VLOOKUP(_xlfn.MINIFS(Table_BDD[Horodatage ouverture],Table_BDD[Date],Table_BDD[Date]),Table_BDD[[Horodatage ouverture]:[Heure derniere valeur]],AA$2)</f>
        <v>984.33</v>
      </c>
      <c r="AE83" s="149">
        <f>IF(VLOOKUP(_xlfn.MINIFS(Table_BDD[Horodatage ouverture],Table_BDD[Date],Table_BDD[Date]),Table_BDD[[Horodatage ouverture]:[Heure derniere valeur]],AA$2)=Table_BDD[[#This Row],[Equité avant trade]],VLOOKUP(_xlfn.MINIFS(Table_BDD[Horodatage ouverture],Table_BDD[Date],Table_BDD[Date]),Table_BDD[[Horodatage ouverture]:[Heure derniere valeur]],AA$2),0)</f>
        <v>0</v>
      </c>
      <c r="AF83" s="150">
        <f>IF(Table_BDD[[#This Row],[Position]]="","",_xlfn.MAXIFS(Table_BDD[Horodatage ouverture],Table_BDD[Date],Table_BDD[Date]))</f>
        <v>43872.882106481484</v>
      </c>
      <c r="AG83" s="32">
        <f>VLOOKUP(_xlfn.MAXIFS(Table_BDD[Horodatage cloture],Table_BDD[Date],Table_BDD[Date]),Table_BDD[[Horodatage ouverture]:[Heure derniere valeur]],AB$2)</f>
        <v>921.11</v>
      </c>
      <c r="AH83" s="32">
        <f>IF(VLOOKUP(_xlfn.MAXIFS(Table_BDD[Horodatage cloture],Table_BDD[Date],Table_BDD[Date]),Table_BDD[[Horodatage ouverture]:[Heure derniere valeur]],AB$2)=Table_BDD[[#This Row],[Equité après trade]],VLOOKUP(_xlfn.MAXIFS(Table_BDD[Horodatage cloture],Table_BDD[Date],Table_BDD[Date]),Table_BDD[[Horodatage ouverture]:[Heure derniere valeur]],AB$2),0)</f>
        <v>0</v>
      </c>
      <c r="AI83" s="32" t="e">
        <f>IF(Table_BDD[[#This Row],[Valeur fin de journée unique]]=0,#N/A,Table_BDD[[#This Row],[Valeur fin de journée unique]])</f>
        <v>#N/A</v>
      </c>
      <c r="AJ83" s="35">
        <f>IF(Table_BDD[[#This Row],[Position]]="","",(Table_BDD[[#This Row],[Equité après trade]]-Table_BDD[[#This Row],[Equité avant trade]])/Table_BDD[[#This Row],[Equité avant trade]])</f>
        <v>-5.138998150777974E-3</v>
      </c>
      <c r="AK83" s="35" t="str">
        <f>IFERROR(((INDEX(Table_BDD[[Trade n°]:[Valeur fin de journée unique]],Table_BDD[[#This Row],[Nb de trade du jour]]+Table_BDD[[#This Row],[Trade n°]]-1,21))-Table_BDD[[#This Row],[Valeur début de journée unique]])/Table_BDD[[#This Row],[Valeur début de journée unique]],"")</f>
        <v/>
      </c>
      <c r="AL83" s="32">
        <f>IF(Table_BDD[[#This Row],[Position]]="","",MAX(Table_BDD[[#This Row],[Cumul équité]],AL82))</f>
        <v>1052.8399999999999</v>
      </c>
      <c r="AM83" s="32">
        <f>IF(Table_BDD[[#This Row],[Position]]="","",MIN(Table_BDD[[#This Row],[Cumul équité]],AL82))</f>
        <v>973.76</v>
      </c>
      <c r="AN83" s="97">
        <f>IF(Table_BDD[[#This Row],[Sommet Drawdown]]&gt;AL82,"",Table_BDD[[#This Row],[Creux Drawdown]]/Table_BDD[[#This Row],[Sommet Drawdown]]-1)</f>
        <v>-7.5111127996656646E-2</v>
      </c>
      <c r="AO83" s="36">
        <f>IF(Table_BDD[[#This Row],[Position]]="","",IF(Table_BDD[[#This Row],[Type]]="buy",ROUND(Table_BDD[[#This Row],[Lvl Sortie]]-Table_BDD[[#This Row],[Lvl Entrée]],1),ROUND(Table_BDD[[#This Row],[Lvl Entrée]]-Table_BDD[[#This Row],[Lvl Sortie]],1)))</f>
        <v>-11</v>
      </c>
      <c r="AP83" s="36" t="str">
        <f>IF(Table_BDD[[#This Row],[Points]]&gt;0,Table_BDD[[#This Row],[Points]],"")</f>
        <v/>
      </c>
      <c r="AQ83" s="36">
        <f>IF(Table_BDD[[#This Row],[Points]]&lt;0,Table_BDD[[#This Row],[Points]],"")</f>
        <v>-11</v>
      </c>
      <c r="AR83" s="36">
        <f>SUM($AO$4:AO83)</f>
        <v>-57.099999999999987</v>
      </c>
      <c r="AS83" s="68">
        <f>IF(Table_BDD[[#This Row],[Position]]="","",IF(Table_BDD[[#This Row],[Conformité]]="Conforme",1,0))</f>
        <v>0</v>
      </c>
      <c r="AT83" s="68">
        <f>IF(Table_BDD[[#This Row],[Position]]="","",IF(Table_BDD[[#This Row],[Conformité]]="Non conforme",1,0))</f>
        <v>1</v>
      </c>
      <c r="AU83" s="37" t="s">
        <v>17</v>
      </c>
      <c r="AV83" s="37"/>
      <c r="AW83" s="37"/>
      <c r="AX83" s="37">
        <v>0</v>
      </c>
      <c r="AY83" s="37">
        <v>0</v>
      </c>
      <c r="AZ83" s="37">
        <v>0</v>
      </c>
      <c r="BA83" s="40" t="str">
        <f>IF(Table_BDD[[#This Row],[Position]]="","Sans objet",IF(AND(Table_BDD[[#This Row],[Type]]="sell",Table_BDD[[#This Row],[S / L]]&lt;Table_BDD[[#This Row],[Lvl Entrée]],Table_BDD[[#This Row],[Lvl Sortie]]&lt;=Table_BDD[[#This Row],[S / L]]+2,Table_BDD[[#This Row],[Lvl Sortie]]&lt;Table_BDD[[#This Row],[Lvl Entrée]]-19),"Oui",IF(AND(Table_BDD[[#This Row],[Type]]="buy",Table_BDD[[#This Row],[S / L]]&gt;Table_BDD[[#This Row],[Lvl Entrée]],Table_BDD[[#This Row],[Lvl Sortie]]&gt;=Table_BDD[[#This Row],[S / L]]-2,Table_BDD[[#This Row],[S / L]]&gt;Table_BDD[[#This Row],[Lvl Entrée]]+19),"Oui","Non")))</f>
        <v>Non</v>
      </c>
      <c r="BB83" s="40" t="str">
        <f>IF(Table_BDD[[#This Row],[Position]]="","Sans objet",IF(AND(Table_BDD[[#This Row],[Type]]="sell",Table_BDD[[#This Row],[S / L]]&lt;Table_BDD[[#This Row],[Lvl Entrée]],Table_BDD[[#This Row],[Points]]&gt;=-1),"Oui",IF(AND(Table_BDD[[#This Row],[Type]]="sell",Table_BDD[[#This Row],[S / L]]&gt;Table_BDD[[#This Row],[Lvl Entrée]]),"Non",IF(AND(Table_BDD[[#This Row],[Type]]="buy",Table_BDD[[#This Row],[S / L]]&lt;Table_BDD[[#This Row],[Lvl Entrée]]),"Non",IF(AND(Table_BDD[[#This Row],[Type]]="buy",Table_BDD[[#This Row],[S / L]]&gt;Table_BDD[[#This Row],[Lvl Entrée]],Table_BDD[[#This Row],[Points]]&gt;=-1),"Oui")))))</f>
        <v>Non</v>
      </c>
      <c r="BC83" s="40" t="str">
        <f>IF(Table_BDD[[#This Row],[Position]]="","Sans objet",IF(Table_BDD[[#This Row],[T / P]]="","Non",IF(AND(Table_BDD[[#This Row],[Type]]="sell",Table_BDD[[#This Row],[Lvl Sortie]]&lt;=Table_BDD[[#This Row],[T / P]]),"Oui",IF(AND(Table_BDD[[#This Row],[Type]]="buy",Table_BDD[[#This Row],[Lvl Sortie]]&gt;=Table_BDD[[#This Row],[T / P]]),"Oui","Non"))))</f>
        <v>Non</v>
      </c>
      <c r="BD83" s="91">
        <f t="array" ref="BD83">IFERROR(INDEX(downloadFile[#All],MATCH(Table_BDD[[#This Row],[Date]],downloadFile[[#All],[Column1]],0),2),BD82)</f>
        <v>1.0901000000000001</v>
      </c>
      <c r="BE83" s="89">
        <f>IF(Table_BDD[[#This Row],[Position]]="","",IF(Table_BDD[[#This Row],[Symbole]]="UsaInd",(Table_BDD[[#This Row],[Volume]]*Table_BDD[[#This Row],[Lvl Entrée]])/(Table_BDD[[#This Row],[Equité avant trade]]*Table_BDD[[#This Row],[EUR/USD]]),IF(Table_BDD[[#This Row],[Symbole]]="Ger30",(Table_BDD[[#This Row],[Volume]]*Table_BDD[[#This Row],[Lvl Entrée]])/Table_BDD[[#This Row],[Equité avant trade]],)))</f>
        <v>13.762909381553992</v>
      </c>
      <c r="BF83" s="38">
        <f>IF(Table_BDD[[#This Row],[Position]]="","",IF(Table_BDD[[#This Row],[Conformité]]="Non conforme",0,(MROUND(3*((Table_BDD[[#This Row],[Conviction]]+Table_BDD[[#This Row],[Timing]]+Table_BDD[[#This Row],[Sortie]])+1)-2,1))))</f>
        <v>0</v>
      </c>
      <c r="BG83" s="38" t="str">
        <f>IF(Table_BDD[[#This Row],[Position]]="","",IF(Table_BDD[[#This Row],[Points]]&lt;-5,"--",IF(AND(Table_BDD[[#This Row],[Points]]&gt;=-5,Table_BDD[[#This Row],[Points]]&lt;-1.5),"-",IF(AND(Table_BDD[[#This Row],[Points]]&gt;=-1.5,Table_BDD[[#This Row],[Points]]&lt;1.5),"0",IF(AND(Table_BDD[[#This Row],[Points]]&gt;=1.5,Table_BDD[[#This Row],[Points]]&lt;=70),"+",IF(Table_BDD[[#This Row],[Points]]&gt;70,"++"))))))</f>
        <v>--</v>
      </c>
      <c r="BH83" s="37" t="str">
        <f>IF(Table_BDD[[#This Row],[Position]]="","",IF(Table_BDD[[#This Row],[Points]]&gt;0,"Gagnant",IF(Table_BDD[[#This Row],[Points]]=0,"Flat","Perdant")))</f>
        <v>Perdant</v>
      </c>
      <c r="BI83" s="40">
        <f>IF(Table_BDD[[#This Row],[Position]]="","",IF(Table_BDD[[#This Row],[Résultat]]="Gagnant",1,0))</f>
        <v>0</v>
      </c>
      <c r="BJ83" s="40">
        <f>IF(Table_BDD[[#This Row],[Position]]="","",IF(Table_BDD[[#This Row],[Résultat]]="Perdant",1,0))</f>
        <v>1</v>
      </c>
      <c r="BK83" s="40"/>
      <c r="BL83" s="145">
        <f>IF(Table_BDD[[#This Row],[T / P]]="","",Table_BDD[[#This Row],[T / P]])</f>
        <v>29419.47</v>
      </c>
      <c r="BM83" s="147"/>
      <c r="BN83" s="147"/>
      <c r="BO83" s="147"/>
      <c r="BP83" s="147"/>
      <c r="BQ83" s="127"/>
    </row>
    <row r="84" spans="1:69" x14ac:dyDescent="0.2">
      <c r="A84" s="93">
        <v>43872.648819444446</v>
      </c>
      <c r="B84" s="94">
        <v>259756261</v>
      </c>
      <c r="C84" s="37" t="s">
        <v>8</v>
      </c>
      <c r="D84" s="37" t="s">
        <v>9</v>
      </c>
      <c r="E84" s="37">
        <v>0.5</v>
      </c>
      <c r="F84" s="95">
        <v>29362.61</v>
      </c>
      <c r="G84" s="95">
        <v>29352.61</v>
      </c>
      <c r="H84" s="95"/>
      <c r="I84" s="93">
        <v>43872.648969907408</v>
      </c>
      <c r="J84" s="95">
        <v>29352.42</v>
      </c>
      <c r="K84" s="95">
        <v>0</v>
      </c>
      <c r="L84" s="95">
        <v>0</v>
      </c>
      <c r="M84" s="32">
        <v>-4.67</v>
      </c>
      <c r="N84" s="148">
        <f>IF(Table_BDD[[#This Row],[Position]]="","",ROW()-3)</f>
        <v>81</v>
      </c>
      <c r="O84" s="32">
        <f>SUM($L$4:M84)</f>
        <v>-30.909999999999975</v>
      </c>
      <c r="P84" s="32">
        <f>Table_BDD[[#This Row],[Equité avant trade]]+Table_BDD[[#This Row],[Profit]]+Table_BDD[[#This Row],[Echange]]</f>
        <v>969.09</v>
      </c>
      <c r="Q84" s="52">
        <f>INT(Table_BDD[[#This Row],[Horodatage cloture]])</f>
        <v>43872</v>
      </c>
      <c r="R84" s="34">
        <f>WEEKNUM(Table_BDD[[#This Row],[Horodatage cloture]],2)</f>
        <v>7</v>
      </c>
      <c r="S84" s="61">
        <f>WEEKDAY(Table_BDD[[#This Row],[Horodatage cloture]])</f>
        <v>3</v>
      </c>
      <c r="T84" s="63">
        <f>HOUR(Table_BDD[[#This Row],[Horodatage cloture]])</f>
        <v>15</v>
      </c>
      <c r="U84" s="68">
        <f>IF(Table_BDD[[#This Row],[Position]]="","",IF(Table_BDD[[#This Row],[Valeur début de journée unique]]&lt;&gt;0,1,0))</f>
        <v>0</v>
      </c>
      <c r="V84" s="68" t="str">
        <f>IF(Table_BDD[[#This Row],[Nb de séance de trading]]=1,COUNTIF(Table_BDD[Date],Table_BDD[[#This Row],[Date]]),"")</f>
        <v/>
      </c>
      <c r="W84" s="33">
        <f>IF(Table_BDD[[#This Row],[Position]]="","",IF(Table_BDD[[#This Row],[Type]]="buy",ROUND(Table_BDD[[#This Row],[Lvl Entrée]]-Table_BDD[[#This Row],[S / L]],1),ROUND(Table_BDD[[#This Row],[S / L]]-Table_BDD[[#This Row],[Lvl Entrée]],1)))</f>
        <v>10</v>
      </c>
      <c r="X84" s="33">
        <f>IF(Table_BDD[[#This Row],[Position]]="","",IF(Table_BDD[[#This Row],[T / P]]=0,200,IF(Table_BDD[[#This Row],[Type]]="buy",ROUND(Table_BDD[[#This Row],[T / P]]-Table_BDD[[#This Row],[Lvl Entrée]],1),ROUND(Table_BDD[[#This Row],[Lvl Entrée]]-Table_BDD[[#This Row],[T / P]],1))))</f>
        <v>200</v>
      </c>
      <c r="Y84" s="34">
        <f>IF(Table_BDD[[#This Row],[Position]]="","",IF(Table_BDD[[#This Row],[Ecart du SL]]&gt;0,ROUND(ABS(Table_BDD[[#This Row],[Ecart du TP]])/ABS(Table_BDD[[#This Row],[Ecart du SL]]),1),ROUND(ABS(Table_BDD[[#This Row],[Ecart du TP]])/10,1)))</f>
        <v>20</v>
      </c>
      <c r="Z84" s="34">
        <f>IF(Table_BDD[[#This Row],[Position]]="","",IF(Table_BDD[[#This Row],[Ecart du SL]]&lt;0,IF(AND(Table_BDD[[#This Row],[Profit]]&gt;0,Table_BDD[[#This Row],[Type]]="sell"),ROUND((Table_BDD[[#This Row],[Lvl Entrée]]-Table_BDD[[#This Row],[Lvl Sortie]])/(10),1),IF(AND(Table_BDD[[#This Row],[Profit]]&gt;0,Table_BDD[[#This Row],[Type]]="buy"),ROUND((Table_BDD[[#This Row],[Lvl Sortie]]-Table_BDD[[#This Row],[Lvl Entrée]])/(10),1),)),IF(AND(Table_BDD[[#This Row],[Profit]]&gt;0,Table_BDD[[#This Row],[Type]]="sell"),ROUND((Table_BDD[[#This Row],[Lvl Entrée]]-Table_BDD[[#This Row],[Lvl Sortie]])/(Table_BDD[[#This Row],[S / L]]-Table_BDD[[#This Row],[Lvl Entrée]]),1),IF(AND(Table_BDD[[#This Row],[Profit]]&gt;0,Table_BDD[[#This Row],[Type]]="buy"),ROUND((Table_BDD[[#This Row],[Lvl Sortie]]-Table_BDD[[#This Row],[Lvl Entrée]])/(Table_BDD[[#This Row],[Lvl Entrée]]-Table_BDD[[#This Row],[S / L]]),1),ROUND(Table_BDD[[#This Row],[Points]]/10,1)))))</f>
        <v>-1</v>
      </c>
      <c r="AA84" s="32">
        <f>IF(Table_BDD[[#This Row],[Position]]="",AA83,Table_BDD[[#This Row],[Equité après trade]]-Table_BDD[[#This Row],[Profit]]-Table_BDD[[#This Row],[Echange]])</f>
        <v>973.76</v>
      </c>
      <c r="AB84" s="149">
        <f>$B$1+SUM($L$4:M84)</f>
        <v>969.09</v>
      </c>
      <c r="AC84" s="150">
        <f>IF(Table_BDD[[#This Row],[Position]]="","",_xlfn.MINIFS(Table_BDD[Horodatage ouverture],Table_BDD[Date],Table_BDD[Date]))</f>
        <v>43872.646979166668</v>
      </c>
      <c r="AD84" s="149">
        <f>VLOOKUP(_xlfn.MINIFS(Table_BDD[Horodatage ouverture],Table_BDD[Date],Table_BDD[Date]),Table_BDD[[Horodatage ouverture]:[Heure derniere valeur]],AA$2)</f>
        <v>984.33</v>
      </c>
      <c r="AE84" s="149">
        <f>IF(VLOOKUP(_xlfn.MINIFS(Table_BDD[Horodatage ouverture],Table_BDD[Date],Table_BDD[Date]),Table_BDD[[Horodatage ouverture]:[Heure derniere valeur]],AA$2)=Table_BDD[[#This Row],[Equité avant trade]],VLOOKUP(_xlfn.MINIFS(Table_BDD[Horodatage ouverture],Table_BDD[Date],Table_BDD[Date]),Table_BDD[[Horodatage ouverture]:[Heure derniere valeur]],AA$2),0)</f>
        <v>0</v>
      </c>
      <c r="AF84" s="150">
        <f>IF(Table_BDD[[#This Row],[Position]]="","",_xlfn.MAXIFS(Table_BDD[Horodatage ouverture],Table_BDD[Date],Table_BDD[Date]))</f>
        <v>43872.882106481484</v>
      </c>
      <c r="AG84" s="32">
        <f>VLOOKUP(_xlfn.MAXIFS(Table_BDD[Horodatage cloture],Table_BDD[Date],Table_BDD[Date]),Table_BDD[[Horodatage ouverture]:[Heure derniere valeur]],AB$2)</f>
        <v>921.11</v>
      </c>
      <c r="AH84" s="32">
        <f>IF(VLOOKUP(_xlfn.MAXIFS(Table_BDD[Horodatage cloture],Table_BDD[Date],Table_BDD[Date]),Table_BDD[[Horodatage ouverture]:[Heure derniere valeur]],AB$2)=Table_BDD[[#This Row],[Equité après trade]],VLOOKUP(_xlfn.MAXIFS(Table_BDD[Horodatage cloture],Table_BDD[Date],Table_BDD[Date]),Table_BDD[[Horodatage ouverture]:[Heure derniere valeur]],AB$2),0)</f>
        <v>0</v>
      </c>
      <c r="AI84" s="32" t="e">
        <f>IF(Table_BDD[[#This Row],[Valeur fin de journée unique]]=0,#N/A,Table_BDD[[#This Row],[Valeur fin de journée unique]])</f>
        <v>#N/A</v>
      </c>
      <c r="AJ84" s="35">
        <f>IF(Table_BDD[[#This Row],[Position]]="","",(Table_BDD[[#This Row],[Equité après trade]]-Table_BDD[[#This Row],[Equité avant trade]])/Table_BDD[[#This Row],[Equité avant trade]])</f>
        <v>-4.7958429181728136E-3</v>
      </c>
      <c r="AK84" s="35" t="str">
        <f>IFERROR(((INDEX(Table_BDD[[Trade n°]:[Valeur fin de journée unique]],Table_BDD[[#This Row],[Nb de trade du jour]]+Table_BDD[[#This Row],[Trade n°]]-1,21))-Table_BDD[[#This Row],[Valeur début de journée unique]])/Table_BDD[[#This Row],[Valeur début de journée unique]],"")</f>
        <v/>
      </c>
      <c r="AL84" s="32">
        <f>IF(Table_BDD[[#This Row],[Position]]="","",MAX(Table_BDD[[#This Row],[Cumul équité]],AL83))</f>
        <v>1052.8399999999999</v>
      </c>
      <c r="AM84" s="32">
        <f>IF(Table_BDD[[#This Row],[Position]]="","",MIN(Table_BDD[[#This Row],[Cumul équité]],AL83))</f>
        <v>969.09</v>
      </c>
      <c r="AN84" s="97">
        <f>IF(Table_BDD[[#This Row],[Sommet Drawdown]]&gt;AL83,"",Table_BDD[[#This Row],[Creux Drawdown]]/Table_BDD[[#This Row],[Sommet Drawdown]]-1)</f>
        <v>-7.9546749743550693E-2</v>
      </c>
      <c r="AO84" s="36">
        <f>IF(Table_BDD[[#This Row],[Position]]="","",IF(Table_BDD[[#This Row],[Type]]="buy",ROUND(Table_BDD[[#This Row],[Lvl Sortie]]-Table_BDD[[#This Row],[Lvl Entrée]],1),ROUND(Table_BDD[[#This Row],[Lvl Entrée]]-Table_BDD[[#This Row],[Lvl Sortie]],1)))</f>
        <v>-10.199999999999999</v>
      </c>
      <c r="AP84" s="36" t="str">
        <f>IF(Table_BDD[[#This Row],[Points]]&gt;0,Table_BDD[[#This Row],[Points]],"")</f>
        <v/>
      </c>
      <c r="AQ84" s="36">
        <f>IF(Table_BDD[[#This Row],[Points]]&lt;0,Table_BDD[[#This Row],[Points]],"")</f>
        <v>-10.199999999999999</v>
      </c>
      <c r="AR84" s="36">
        <f>SUM($AO$4:AO84)</f>
        <v>-67.299999999999983</v>
      </c>
      <c r="AS84" s="68">
        <f>IF(Table_BDD[[#This Row],[Position]]="","",IF(Table_BDD[[#This Row],[Conformité]]="Conforme",1,0))</f>
        <v>0</v>
      </c>
      <c r="AT84" s="68">
        <f>IF(Table_BDD[[#This Row],[Position]]="","",IF(Table_BDD[[#This Row],[Conformité]]="Non conforme",1,0))</f>
        <v>1</v>
      </c>
      <c r="AU84" s="37" t="s">
        <v>17</v>
      </c>
      <c r="AV84" s="37"/>
      <c r="AW84" s="37"/>
      <c r="AX84" s="37">
        <v>0</v>
      </c>
      <c r="AY84" s="37">
        <v>0</v>
      </c>
      <c r="AZ84" s="37">
        <v>0</v>
      </c>
      <c r="BA84" s="40" t="str">
        <f>IF(Table_BDD[[#This Row],[Position]]="","Sans objet",IF(AND(Table_BDD[[#This Row],[Type]]="sell",Table_BDD[[#This Row],[S / L]]&lt;Table_BDD[[#This Row],[Lvl Entrée]],Table_BDD[[#This Row],[Lvl Sortie]]&lt;=Table_BDD[[#This Row],[S / L]]+2,Table_BDD[[#This Row],[Lvl Sortie]]&lt;Table_BDD[[#This Row],[Lvl Entrée]]-19),"Oui",IF(AND(Table_BDD[[#This Row],[Type]]="buy",Table_BDD[[#This Row],[S / L]]&gt;Table_BDD[[#This Row],[Lvl Entrée]],Table_BDD[[#This Row],[Lvl Sortie]]&gt;=Table_BDD[[#This Row],[S / L]]-2,Table_BDD[[#This Row],[S / L]]&gt;Table_BDD[[#This Row],[Lvl Entrée]]+19),"Oui","Non")))</f>
        <v>Non</v>
      </c>
      <c r="BB84" s="40" t="str">
        <f>IF(Table_BDD[[#This Row],[Position]]="","Sans objet",IF(AND(Table_BDD[[#This Row],[Type]]="sell",Table_BDD[[#This Row],[S / L]]&lt;Table_BDD[[#This Row],[Lvl Entrée]],Table_BDD[[#This Row],[Points]]&gt;=-1),"Oui",IF(AND(Table_BDD[[#This Row],[Type]]="sell",Table_BDD[[#This Row],[S / L]]&gt;Table_BDD[[#This Row],[Lvl Entrée]]),"Non",IF(AND(Table_BDD[[#This Row],[Type]]="buy",Table_BDD[[#This Row],[S / L]]&lt;Table_BDD[[#This Row],[Lvl Entrée]]),"Non",IF(AND(Table_BDD[[#This Row],[Type]]="buy",Table_BDD[[#This Row],[S / L]]&gt;Table_BDD[[#This Row],[Lvl Entrée]],Table_BDD[[#This Row],[Points]]&gt;=-1),"Oui")))))</f>
        <v>Non</v>
      </c>
      <c r="BC84" s="40" t="str">
        <f>IF(Table_BDD[[#This Row],[Position]]="","Sans objet",IF(Table_BDD[[#This Row],[T / P]]="","Non",IF(AND(Table_BDD[[#This Row],[Type]]="sell",Table_BDD[[#This Row],[Lvl Sortie]]&lt;=Table_BDD[[#This Row],[T / P]]),"Oui",IF(AND(Table_BDD[[#This Row],[Type]]="buy",Table_BDD[[#This Row],[Lvl Sortie]]&gt;=Table_BDD[[#This Row],[T / P]]),"Oui","Non"))))</f>
        <v>Non</v>
      </c>
      <c r="BD84" s="91">
        <f t="array" ref="BD84">IFERROR(INDEX(downloadFile[#All],MATCH(Table_BDD[[#This Row],[Date]],downloadFile[[#All],[Column1]],0),2),BD83)</f>
        <v>1.0901000000000001</v>
      </c>
      <c r="BE84" s="89">
        <f>IF(Table_BDD[[#This Row],[Position]]="","",IF(Table_BDD[[#This Row],[Symbole]]="UsaInd",(Table_BDD[[#This Row],[Volume]]*Table_BDD[[#This Row],[Lvl Entrée]])/(Table_BDD[[#This Row],[Equité avant trade]]*Table_BDD[[#This Row],[EUR/USD]]),IF(Table_BDD[[#This Row],[Symbole]]="Ger30",(Table_BDD[[#This Row],[Volume]]*Table_BDD[[#This Row],[Lvl Entrée]])/Table_BDD[[#This Row],[Equité avant trade]],)))</f>
        <v>13.830771004405769</v>
      </c>
      <c r="BF84" s="38">
        <f>IF(Table_BDD[[#This Row],[Position]]="","",IF(Table_BDD[[#This Row],[Conformité]]="Non conforme",0,(MROUND(3*((Table_BDD[[#This Row],[Conviction]]+Table_BDD[[#This Row],[Timing]]+Table_BDD[[#This Row],[Sortie]])+1)-2,1))))</f>
        <v>0</v>
      </c>
      <c r="BG84" s="38" t="str">
        <f>IF(Table_BDD[[#This Row],[Position]]="","",IF(Table_BDD[[#This Row],[Points]]&lt;-5,"--",IF(AND(Table_BDD[[#This Row],[Points]]&gt;=-5,Table_BDD[[#This Row],[Points]]&lt;-1.5),"-",IF(AND(Table_BDD[[#This Row],[Points]]&gt;=-1.5,Table_BDD[[#This Row],[Points]]&lt;1.5),"0",IF(AND(Table_BDD[[#This Row],[Points]]&gt;=1.5,Table_BDD[[#This Row],[Points]]&lt;=70),"+",IF(Table_BDD[[#This Row],[Points]]&gt;70,"++"))))))</f>
        <v>--</v>
      </c>
      <c r="BH84" s="37" t="str">
        <f>IF(Table_BDD[[#This Row],[Position]]="","",IF(Table_BDD[[#This Row],[Points]]&gt;0,"Gagnant",IF(Table_BDD[[#This Row],[Points]]=0,"Flat","Perdant")))</f>
        <v>Perdant</v>
      </c>
      <c r="BI84" s="40">
        <f>IF(Table_BDD[[#This Row],[Position]]="","",IF(Table_BDD[[#This Row],[Résultat]]="Gagnant",1,0))</f>
        <v>0</v>
      </c>
      <c r="BJ84" s="40">
        <f>IF(Table_BDD[[#This Row],[Position]]="","",IF(Table_BDD[[#This Row],[Résultat]]="Perdant",1,0))</f>
        <v>1</v>
      </c>
      <c r="BK84" s="40"/>
      <c r="BL84" s="145" t="str">
        <f>IF(Table_BDD[[#This Row],[T / P]]="","",Table_BDD[[#This Row],[T / P]])</f>
        <v/>
      </c>
      <c r="BM84" s="147"/>
      <c r="BN84" s="147"/>
      <c r="BO84" s="147"/>
      <c r="BP84" s="147"/>
      <c r="BQ84" s="127"/>
    </row>
    <row r="85" spans="1:69" x14ac:dyDescent="0.2">
      <c r="A85" s="93">
        <v>43872.649328703701</v>
      </c>
      <c r="B85" s="94">
        <v>259756438</v>
      </c>
      <c r="C85" s="37" t="s">
        <v>8</v>
      </c>
      <c r="D85" s="37" t="s">
        <v>9</v>
      </c>
      <c r="E85" s="37">
        <v>0.5</v>
      </c>
      <c r="F85" s="95">
        <v>29346.63</v>
      </c>
      <c r="G85" s="95">
        <v>29336.63</v>
      </c>
      <c r="H85" s="95"/>
      <c r="I85" s="93">
        <v>43872.650023148148</v>
      </c>
      <c r="J85" s="95">
        <v>29336.53</v>
      </c>
      <c r="K85" s="95">
        <v>0</v>
      </c>
      <c r="L85" s="95">
        <v>0</v>
      </c>
      <c r="M85" s="32">
        <v>-4.63</v>
      </c>
      <c r="N85" s="148">
        <f>IF(Table_BDD[[#This Row],[Position]]="","",ROW()-3)</f>
        <v>82</v>
      </c>
      <c r="O85" s="32">
        <f>SUM($L$4:M85)</f>
        <v>-35.539999999999978</v>
      </c>
      <c r="P85" s="32">
        <f>Table_BDD[[#This Row],[Equité avant trade]]+Table_BDD[[#This Row],[Profit]]+Table_BDD[[#This Row],[Echange]]</f>
        <v>964.46</v>
      </c>
      <c r="Q85" s="52">
        <f>INT(Table_BDD[[#This Row],[Horodatage cloture]])</f>
        <v>43872</v>
      </c>
      <c r="R85" s="34">
        <f>WEEKNUM(Table_BDD[[#This Row],[Horodatage cloture]],2)</f>
        <v>7</v>
      </c>
      <c r="S85" s="61">
        <f>WEEKDAY(Table_BDD[[#This Row],[Horodatage cloture]])</f>
        <v>3</v>
      </c>
      <c r="T85" s="63">
        <f>HOUR(Table_BDD[[#This Row],[Horodatage cloture]])</f>
        <v>15</v>
      </c>
      <c r="U85" s="68">
        <f>IF(Table_BDD[[#This Row],[Position]]="","",IF(Table_BDD[[#This Row],[Valeur début de journée unique]]&lt;&gt;0,1,0))</f>
        <v>0</v>
      </c>
      <c r="V85" s="68" t="str">
        <f>IF(Table_BDD[[#This Row],[Nb de séance de trading]]=1,COUNTIF(Table_BDD[Date],Table_BDD[[#This Row],[Date]]),"")</f>
        <v/>
      </c>
      <c r="W85" s="33">
        <f>IF(Table_BDD[[#This Row],[Position]]="","",IF(Table_BDD[[#This Row],[Type]]="buy",ROUND(Table_BDD[[#This Row],[Lvl Entrée]]-Table_BDD[[#This Row],[S / L]],1),ROUND(Table_BDD[[#This Row],[S / L]]-Table_BDD[[#This Row],[Lvl Entrée]],1)))</f>
        <v>10</v>
      </c>
      <c r="X85" s="33">
        <f>IF(Table_BDD[[#This Row],[Position]]="","",IF(Table_BDD[[#This Row],[T / P]]=0,200,IF(Table_BDD[[#This Row],[Type]]="buy",ROUND(Table_BDD[[#This Row],[T / P]]-Table_BDD[[#This Row],[Lvl Entrée]],1),ROUND(Table_BDD[[#This Row],[Lvl Entrée]]-Table_BDD[[#This Row],[T / P]],1))))</f>
        <v>200</v>
      </c>
      <c r="Y85" s="34">
        <f>IF(Table_BDD[[#This Row],[Position]]="","",IF(Table_BDD[[#This Row],[Ecart du SL]]&gt;0,ROUND(ABS(Table_BDD[[#This Row],[Ecart du TP]])/ABS(Table_BDD[[#This Row],[Ecart du SL]]),1),ROUND(ABS(Table_BDD[[#This Row],[Ecart du TP]])/10,1)))</f>
        <v>20</v>
      </c>
      <c r="Z85" s="34">
        <f>IF(Table_BDD[[#This Row],[Position]]="","",IF(Table_BDD[[#This Row],[Ecart du SL]]&lt;0,IF(AND(Table_BDD[[#This Row],[Profit]]&gt;0,Table_BDD[[#This Row],[Type]]="sell"),ROUND((Table_BDD[[#This Row],[Lvl Entrée]]-Table_BDD[[#This Row],[Lvl Sortie]])/(10),1),IF(AND(Table_BDD[[#This Row],[Profit]]&gt;0,Table_BDD[[#This Row],[Type]]="buy"),ROUND((Table_BDD[[#This Row],[Lvl Sortie]]-Table_BDD[[#This Row],[Lvl Entrée]])/(10),1),)),IF(AND(Table_BDD[[#This Row],[Profit]]&gt;0,Table_BDD[[#This Row],[Type]]="sell"),ROUND((Table_BDD[[#This Row],[Lvl Entrée]]-Table_BDD[[#This Row],[Lvl Sortie]])/(Table_BDD[[#This Row],[S / L]]-Table_BDD[[#This Row],[Lvl Entrée]]),1),IF(AND(Table_BDD[[#This Row],[Profit]]&gt;0,Table_BDD[[#This Row],[Type]]="buy"),ROUND((Table_BDD[[#This Row],[Lvl Sortie]]-Table_BDD[[#This Row],[Lvl Entrée]])/(Table_BDD[[#This Row],[Lvl Entrée]]-Table_BDD[[#This Row],[S / L]]),1),ROUND(Table_BDD[[#This Row],[Points]]/10,1)))))</f>
        <v>-1</v>
      </c>
      <c r="AA85" s="32">
        <f>IF(Table_BDD[[#This Row],[Position]]="",AA84,Table_BDD[[#This Row],[Equité après trade]]-Table_BDD[[#This Row],[Profit]]-Table_BDD[[#This Row],[Echange]])</f>
        <v>969.09</v>
      </c>
      <c r="AB85" s="149">
        <f>$B$1+SUM($L$4:M85)</f>
        <v>964.46</v>
      </c>
      <c r="AC85" s="150">
        <f>IF(Table_BDD[[#This Row],[Position]]="","",_xlfn.MINIFS(Table_BDD[Horodatage ouverture],Table_BDD[Date],Table_BDD[Date]))</f>
        <v>43872.646979166668</v>
      </c>
      <c r="AD85" s="149">
        <f>VLOOKUP(_xlfn.MINIFS(Table_BDD[Horodatage ouverture],Table_BDD[Date],Table_BDD[Date]),Table_BDD[[Horodatage ouverture]:[Heure derniere valeur]],AA$2)</f>
        <v>984.33</v>
      </c>
      <c r="AE85" s="149">
        <f>IF(VLOOKUP(_xlfn.MINIFS(Table_BDD[Horodatage ouverture],Table_BDD[Date],Table_BDD[Date]),Table_BDD[[Horodatage ouverture]:[Heure derniere valeur]],AA$2)=Table_BDD[[#This Row],[Equité avant trade]],VLOOKUP(_xlfn.MINIFS(Table_BDD[Horodatage ouverture],Table_BDD[Date],Table_BDD[Date]),Table_BDD[[Horodatage ouverture]:[Heure derniere valeur]],AA$2),0)</f>
        <v>0</v>
      </c>
      <c r="AF85" s="150">
        <f>IF(Table_BDD[[#This Row],[Position]]="","",_xlfn.MAXIFS(Table_BDD[Horodatage ouverture],Table_BDD[Date],Table_BDD[Date]))</f>
        <v>43872.882106481484</v>
      </c>
      <c r="AG85" s="32">
        <f>VLOOKUP(_xlfn.MAXIFS(Table_BDD[Horodatage cloture],Table_BDD[Date],Table_BDD[Date]),Table_BDD[[Horodatage ouverture]:[Heure derniere valeur]],AB$2)</f>
        <v>921.11</v>
      </c>
      <c r="AH85" s="32">
        <f>IF(VLOOKUP(_xlfn.MAXIFS(Table_BDD[Horodatage cloture],Table_BDD[Date],Table_BDD[Date]),Table_BDD[[Horodatage ouverture]:[Heure derniere valeur]],AB$2)=Table_BDD[[#This Row],[Equité après trade]],VLOOKUP(_xlfn.MAXIFS(Table_BDD[Horodatage cloture],Table_BDD[Date],Table_BDD[Date]),Table_BDD[[Horodatage ouverture]:[Heure derniere valeur]],AB$2),0)</f>
        <v>0</v>
      </c>
      <c r="AI85" s="32" t="e">
        <f>IF(Table_BDD[[#This Row],[Valeur fin de journée unique]]=0,#N/A,Table_BDD[[#This Row],[Valeur fin de journée unique]])</f>
        <v>#N/A</v>
      </c>
      <c r="AJ85" s="35">
        <f>IF(Table_BDD[[#This Row],[Position]]="","",(Table_BDD[[#This Row],[Equité après trade]]-Table_BDD[[#This Row],[Equité avant trade]])/Table_BDD[[#This Row],[Equité avant trade]])</f>
        <v>-4.7776780278405463E-3</v>
      </c>
      <c r="AK85" s="35" t="str">
        <f>IFERROR(((INDEX(Table_BDD[[Trade n°]:[Valeur fin de journée unique]],Table_BDD[[#This Row],[Nb de trade du jour]]+Table_BDD[[#This Row],[Trade n°]]-1,21))-Table_BDD[[#This Row],[Valeur début de journée unique]])/Table_BDD[[#This Row],[Valeur début de journée unique]],"")</f>
        <v/>
      </c>
      <c r="AL85" s="32">
        <f>IF(Table_BDD[[#This Row],[Position]]="","",MAX(Table_BDD[[#This Row],[Cumul équité]],AL84))</f>
        <v>1052.8399999999999</v>
      </c>
      <c r="AM85" s="32">
        <f>IF(Table_BDD[[#This Row],[Position]]="","",MIN(Table_BDD[[#This Row],[Cumul équité]],AL84))</f>
        <v>964.46</v>
      </c>
      <c r="AN85" s="97">
        <f>IF(Table_BDD[[#This Row],[Sommet Drawdown]]&gt;AL84,"",Table_BDD[[#This Row],[Creux Drawdown]]/Table_BDD[[#This Row],[Sommet Drawdown]]-1)</f>
        <v>-8.3944379012955372E-2</v>
      </c>
      <c r="AO85" s="36">
        <f>IF(Table_BDD[[#This Row],[Position]]="","",IF(Table_BDD[[#This Row],[Type]]="buy",ROUND(Table_BDD[[#This Row],[Lvl Sortie]]-Table_BDD[[#This Row],[Lvl Entrée]],1),ROUND(Table_BDD[[#This Row],[Lvl Entrée]]-Table_BDD[[#This Row],[Lvl Sortie]],1)))</f>
        <v>-10.1</v>
      </c>
      <c r="AP85" s="36" t="str">
        <f>IF(Table_BDD[[#This Row],[Points]]&gt;0,Table_BDD[[#This Row],[Points]],"")</f>
        <v/>
      </c>
      <c r="AQ85" s="36">
        <f>IF(Table_BDD[[#This Row],[Points]]&lt;0,Table_BDD[[#This Row],[Points]],"")</f>
        <v>-10.1</v>
      </c>
      <c r="AR85" s="36">
        <f>SUM($AO$4:AO85)</f>
        <v>-77.399999999999977</v>
      </c>
      <c r="AS85" s="68">
        <f>IF(Table_BDD[[#This Row],[Position]]="","",IF(Table_BDD[[#This Row],[Conformité]]="Conforme",1,0))</f>
        <v>0</v>
      </c>
      <c r="AT85" s="68">
        <f>IF(Table_BDD[[#This Row],[Position]]="","",IF(Table_BDD[[#This Row],[Conformité]]="Non conforme",1,0))</f>
        <v>1</v>
      </c>
      <c r="AU85" s="37" t="s">
        <v>17</v>
      </c>
      <c r="AV85" s="37"/>
      <c r="AW85" s="37"/>
      <c r="AX85" s="37">
        <v>0</v>
      </c>
      <c r="AY85" s="37">
        <v>0</v>
      </c>
      <c r="AZ85" s="37">
        <v>0</v>
      </c>
      <c r="BA85" s="40" t="str">
        <f>IF(Table_BDD[[#This Row],[Position]]="","Sans objet",IF(AND(Table_BDD[[#This Row],[Type]]="sell",Table_BDD[[#This Row],[S / L]]&lt;Table_BDD[[#This Row],[Lvl Entrée]],Table_BDD[[#This Row],[Lvl Sortie]]&lt;=Table_BDD[[#This Row],[S / L]]+2,Table_BDD[[#This Row],[Lvl Sortie]]&lt;Table_BDD[[#This Row],[Lvl Entrée]]-19),"Oui",IF(AND(Table_BDD[[#This Row],[Type]]="buy",Table_BDD[[#This Row],[S / L]]&gt;Table_BDD[[#This Row],[Lvl Entrée]],Table_BDD[[#This Row],[Lvl Sortie]]&gt;=Table_BDD[[#This Row],[S / L]]-2,Table_BDD[[#This Row],[S / L]]&gt;Table_BDD[[#This Row],[Lvl Entrée]]+19),"Oui","Non")))</f>
        <v>Non</v>
      </c>
      <c r="BB85" s="40" t="str">
        <f>IF(Table_BDD[[#This Row],[Position]]="","Sans objet",IF(AND(Table_BDD[[#This Row],[Type]]="sell",Table_BDD[[#This Row],[S / L]]&lt;Table_BDD[[#This Row],[Lvl Entrée]],Table_BDD[[#This Row],[Points]]&gt;=-1),"Oui",IF(AND(Table_BDD[[#This Row],[Type]]="sell",Table_BDD[[#This Row],[S / L]]&gt;Table_BDD[[#This Row],[Lvl Entrée]]),"Non",IF(AND(Table_BDD[[#This Row],[Type]]="buy",Table_BDD[[#This Row],[S / L]]&lt;Table_BDD[[#This Row],[Lvl Entrée]]),"Non",IF(AND(Table_BDD[[#This Row],[Type]]="buy",Table_BDD[[#This Row],[S / L]]&gt;Table_BDD[[#This Row],[Lvl Entrée]],Table_BDD[[#This Row],[Points]]&gt;=-1),"Oui")))))</f>
        <v>Non</v>
      </c>
      <c r="BC85" s="40" t="str">
        <f>IF(Table_BDD[[#This Row],[Position]]="","Sans objet",IF(Table_BDD[[#This Row],[T / P]]="","Non",IF(AND(Table_BDD[[#This Row],[Type]]="sell",Table_BDD[[#This Row],[Lvl Sortie]]&lt;=Table_BDD[[#This Row],[T / P]]),"Oui",IF(AND(Table_BDD[[#This Row],[Type]]="buy",Table_BDD[[#This Row],[Lvl Sortie]]&gt;=Table_BDD[[#This Row],[T / P]]),"Oui","Non"))))</f>
        <v>Non</v>
      </c>
      <c r="BD85" s="91">
        <f t="array" ref="BD85">IFERROR(INDEX(downloadFile[#All],MATCH(Table_BDD[[#This Row],[Date]],downloadFile[[#All],[Column1]],0),2),BD84)</f>
        <v>1.0901000000000001</v>
      </c>
      <c r="BE85" s="89">
        <f>IF(Table_BDD[[#This Row],[Position]]="","",IF(Table_BDD[[#This Row],[Symbole]]="UsaInd",(Table_BDD[[#This Row],[Volume]]*Table_BDD[[#This Row],[Lvl Entrée]])/(Table_BDD[[#This Row],[Equité avant trade]]*Table_BDD[[#This Row],[EUR/USD]]),IF(Table_BDD[[#This Row],[Symbole]]="Ger30",(Table_BDD[[#This Row],[Volume]]*Table_BDD[[#This Row],[Lvl Entrée]])/Table_BDD[[#This Row],[Equité avant trade]],)))</f>
        <v>13.889857464695153</v>
      </c>
      <c r="BF85" s="38">
        <f>IF(Table_BDD[[#This Row],[Position]]="","",IF(Table_BDD[[#This Row],[Conformité]]="Non conforme",0,(MROUND(3*((Table_BDD[[#This Row],[Conviction]]+Table_BDD[[#This Row],[Timing]]+Table_BDD[[#This Row],[Sortie]])+1)-2,1))))</f>
        <v>0</v>
      </c>
      <c r="BG85" s="38" t="str">
        <f>IF(Table_BDD[[#This Row],[Position]]="","",IF(Table_BDD[[#This Row],[Points]]&lt;-5,"--",IF(AND(Table_BDD[[#This Row],[Points]]&gt;=-5,Table_BDD[[#This Row],[Points]]&lt;-1.5),"-",IF(AND(Table_BDD[[#This Row],[Points]]&gt;=-1.5,Table_BDD[[#This Row],[Points]]&lt;1.5),"0",IF(AND(Table_BDD[[#This Row],[Points]]&gt;=1.5,Table_BDD[[#This Row],[Points]]&lt;=70),"+",IF(Table_BDD[[#This Row],[Points]]&gt;70,"++"))))))</f>
        <v>--</v>
      </c>
      <c r="BH85" s="37" t="str">
        <f>IF(Table_BDD[[#This Row],[Position]]="","",IF(Table_BDD[[#This Row],[Points]]&gt;0,"Gagnant",IF(Table_BDD[[#This Row],[Points]]=0,"Flat","Perdant")))</f>
        <v>Perdant</v>
      </c>
      <c r="BI85" s="40">
        <f>IF(Table_BDD[[#This Row],[Position]]="","",IF(Table_BDD[[#This Row],[Résultat]]="Gagnant",1,0))</f>
        <v>0</v>
      </c>
      <c r="BJ85" s="40">
        <f>IF(Table_BDD[[#This Row],[Position]]="","",IF(Table_BDD[[#This Row],[Résultat]]="Perdant",1,0))</f>
        <v>1</v>
      </c>
      <c r="BK85" s="40"/>
      <c r="BL85" s="145" t="str">
        <f>IF(Table_BDD[[#This Row],[T / P]]="","",Table_BDD[[#This Row],[T / P]])</f>
        <v/>
      </c>
      <c r="BM85" s="147"/>
      <c r="BN85" s="147"/>
      <c r="BO85" s="147"/>
      <c r="BP85" s="147"/>
      <c r="BQ85" s="127"/>
    </row>
    <row r="86" spans="1:69" x14ac:dyDescent="0.2">
      <c r="A86" s="93">
        <v>43872.650358796294</v>
      </c>
      <c r="B86" s="94">
        <v>259756754</v>
      </c>
      <c r="C86" s="37" t="s">
        <v>8</v>
      </c>
      <c r="D86" s="37" t="s">
        <v>9</v>
      </c>
      <c r="E86" s="37">
        <v>0.5</v>
      </c>
      <c r="F86" s="95">
        <v>29334.58</v>
      </c>
      <c r="G86" s="95">
        <v>29324.560000000001</v>
      </c>
      <c r="H86" s="95"/>
      <c r="I86" s="93">
        <v>43872.650902777779</v>
      </c>
      <c r="J86" s="95">
        <v>29324.41</v>
      </c>
      <c r="K86" s="95">
        <v>0</v>
      </c>
      <c r="L86" s="95">
        <v>0</v>
      </c>
      <c r="M86" s="32">
        <v>-4.66</v>
      </c>
      <c r="N86" s="148">
        <f>IF(Table_BDD[[#This Row],[Position]]="","",ROW()-3)</f>
        <v>83</v>
      </c>
      <c r="O86" s="32">
        <f>SUM($L$4:M86)</f>
        <v>-40.199999999999974</v>
      </c>
      <c r="P86" s="32">
        <f>Table_BDD[[#This Row],[Equité avant trade]]+Table_BDD[[#This Row],[Profit]]+Table_BDD[[#This Row],[Echange]]</f>
        <v>959.80000000000007</v>
      </c>
      <c r="Q86" s="52">
        <f>INT(Table_BDD[[#This Row],[Horodatage cloture]])</f>
        <v>43872</v>
      </c>
      <c r="R86" s="34">
        <f>WEEKNUM(Table_BDD[[#This Row],[Horodatage cloture]],2)</f>
        <v>7</v>
      </c>
      <c r="S86" s="61">
        <f>WEEKDAY(Table_BDD[[#This Row],[Horodatage cloture]])</f>
        <v>3</v>
      </c>
      <c r="T86" s="63">
        <f>HOUR(Table_BDD[[#This Row],[Horodatage cloture]])</f>
        <v>15</v>
      </c>
      <c r="U86" s="68">
        <f>IF(Table_BDD[[#This Row],[Position]]="","",IF(Table_BDD[[#This Row],[Valeur début de journée unique]]&lt;&gt;0,1,0))</f>
        <v>0</v>
      </c>
      <c r="V86" s="68" t="str">
        <f>IF(Table_BDD[[#This Row],[Nb de séance de trading]]=1,COUNTIF(Table_BDD[Date],Table_BDD[[#This Row],[Date]]),"")</f>
        <v/>
      </c>
      <c r="W86" s="33">
        <f>IF(Table_BDD[[#This Row],[Position]]="","",IF(Table_BDD[[#This Row],[Type]]="buy",ROUND(Table_BDD[[#This Row],[Lvl Entrée]]-Table_BDD[[#This Row],[S / L]],1),ROUND(Table_BDD[[#This Row],[S / L]]-Table_BDD[[#This Row],[Lvl Entrée]],1)))</f>
        <v>10</v>
      </c>
      <c r="X86" s="33">
        <f>IF(Table_BDD[[#This Row],[Position]]="","",IF(Table_BDD[[#This Row],[T / P]]=0,200,IF(Table_BDD[[#This Row],[Type]]="buy",ROUND(Table_BDD[[#This Row],[T / P]]-Table_BDD[[#This Row],[Lvl Entrée]],1),ROUND(Table_BDD[[#This Row],[Lvl Entrée]]-Table_BDD[[#This Row],[T / P]],1))))</f>
        <v>200</v>
      </c>
      <c r="Y86" s="34">
        <f>IF(Table_BDD[[#This Row],[Position]]="","",IF(Table_BDD[[#This Row],[Ecart du SL]]&gt;0,ROUND(ABS(Table_BDD[[#This Row],[Ecart du TP]])/ABS(Table_BDD[[#This Row],[Ecart du SL]]),1),ROUND(ABS(Table_BDD[[#This Row],[Ecart du TP]])/10,1)))</f>
        <v>20</v>
      </c>
      <c r="Z86" s="34">
        <f>IF(Table_BDD[[#This Row],[Position]]="","",IF(Table_BDD[[#This Row],[Ecart du SL]]&lt;0,IF(AND(Table_BDD[[#This Row],[Profit]]&gt;0,Table_BDD[[#This Row],[Type]]="sell"),ROUND((Table_BDD[[#This Row],[Lvl Entrée]]-Table_BDD[[#This Row],[Lvl Sortie]])/(10),1),IF(AND(Table_BDD[[#This Row],[Profit]]&gt;0,Table_BDD[[#This Row],[Type]]="buy"),ROUND((Table_BDD[[#This Row],[Lvl Sortie]]-Table_BDD[[#This Row],[Lvl Entrée]])/(10),1),)),IF(AND(Table_BDD[[#This Row],[Profit]]&gt;0,Table_BDD[[#This Row],[Type]]="sell"),ROUND((Table_BDD[[#This Row],[Lvl Entrée]]-Table_BDD[[#This Row],[Lvl Sortie]])/(Table_BDD[[#This Row],[S / L]]-Table_BDD[[#This Row],[Lvl Entrée]]),1),IF(AND(Table_BDD[[#This Row],[Profit]]&gt;0,Table_BDD[[#This Row],[Type]]="buy"),ROUND((Table_BDD[[#This Row],[Lvl Sortie]]-Table_BDD[[#This Row],[Lvl Entrée]])/(Table_BDD[[#This Row],[Lvl Entrée]]-Table_BDD[[#This Row],[S / L]]),1),ROUND(Table_BDD[[#This Row],[Points]]/10,1)))))</f>
        <v>-1</v>
      </c>
      <c r="AA86" s="32">
        <f>IF(Table_BDD[[#This Row],[Position]]="",AA85,Table_BDD[[#This Row],[Equité après trade]]-Table_BDD[[#This Row],[Profit]]-Table_BDD[[#This Row],[Echange]])</f>
        <v>964.46</v>
      </c>
      <c r="AB86" s="149">
        <f>$B$1+SUM($L$4:M86)</f>
        <v>959.80000000000007</v>
      </c>
      <c r="AC86" s="150">
        <f>IF(Table_BDD[[#This Row],[Position]]="","",_xlfn.MINIFS(Table_BDD[Horodatage ouverture],Table_BDD[Date],Table_BDD[Date]))</f>
        <v>43872.646979166668</v>
      </c>
      <c r="AD86" s="149">
        <f>VLOOKUP(_xlfn.MINIFS(Table_BDD[Horodatage ouverture],Table_BDD[Date],Table_BDD[Date]),Table_BDD[[Horodatage ouverture]:[Heure derniere valeur]],AA$2)</f>
        <v>984.33</v>
      </c>
      <c r="AE86" s="149">
        <f>IF(VLOOKUP(_xlfn.MINIFS(Table_BDD[Horodatage ouverture],Table_BDD[Date],Table_BDD[Date]),Table_BDD[[Horodatage ouverture]:[Heure derniere valeur]],AA$2)=Table_BDD[[#This Row],[Equité avant trade]],VLOOKUP(_xlfn.MINIFS(Table_BDD[Horodatage ouverture],Table_BDD[Date],Table_BDD[Date]),Table_BDD[[Horodatage ouverture]:[Heure derniere valeur]],AA$2),0)</f>
        <v>0</v>
      </c>
      <c r="AF86" s="150">
        <f>IF(Table_BDD[[#This Row],[Position]]="","",_xlfn.MAXIFS(Table_BDD[Horodatage ouverture],Table_BDD[Date],Table_BDD[Date]))</f>
        <v>43872.882106481484</v>
      </c>
      <c r="AG86" s="32">
        <f>VLOOKUP(_xlfn.MAXIFS(Table_BDD[Horodatage cloture],Table_BDD[Date],Table_BDD[Date]),Table_BDD[[Horodatage ouverture]:[Heure derniere valeur]],AB$2)</f>
        <v>921.11</v>
      </c>
      <c r="AH86" s="32">
        <f>IF(VLOOKUP(_xlfn.MAXIFS(Table_BDD[Horodatage cloture],Table_BDD[Date],Table_BDD[Date]),Table_BDD[[Horodatage ouverture]:[Heure derniere valeur]],AB$2)=Table_BDD[[#This Row],[Equité après trade]],VLOOKUP(_xlfn.MAXIFS(Table_BDD[Horodatage cloture],Table_BDD[Date],Table_BDD[Date]),Table_BDD[[Horodatage ouverture]:[Heure derniere valeur]],AB$2),0)</f>
        <v>0</v>
      </c>
      <c r="AI86" s="32" t="e">
        <f>IF(Table_BDD[[#This Row],[Valeur fin de journée unique]]=0,#N/A,Table_BDD[[#This Row],[Valeur fin de journée unique]])</f>
        <v>#N/A</v>
      </c>
      <c r="AJ86" s="35">
        <f>IF(Table_BDD[[#This Row],[Position]]="","",(Table_BDD[[#This Row],[Equité après trade]]-Table_BDD[[#This Row],[Equité avant trade]])/Table_BDD[[#This Row],[Equité avant trade]])</f>
        <v>-4.8317193040664907E-3</v>
      </c>
      <c r="AK86" s="35" t="str">
        <f>IFERROR(((INDEX(Table_BDD[[Trade n°]:[Valeur fin de journée unique]],Table_BDD[[#This Row],[Nb de trade du jour]]+Table_BDD[[#This Row],[Trade n°]]-1,21))-Table_BDD[[#This Row],[Valeur début de journée unique]])/Table_BDD[[#This Row],[Valeur début de journée unique]],"")</f>
        <v/>
      </c>
      <c r="AL86" s="32">
        <f>IF(Table_BDD[[#This Row],[Position]]="","",MAX(Table_BDD[[#This Row],[Cumul équité]],AL85))</f>
        <v>1052.8399999999999</v>
      </c>
      <c r="AM86" s="32">
        <f>IF(Table_BDD[[#This Row],[Position]]="","",MIN(Table_BDD[[#This Row],[Cumul équité]],AL85))</f>
        <v>959.80000000000007</v>
      </c>
      <c r="AN86" s="97">
        <f>IF(Table_BDD[[#This Row],[Sommet Drawdown]]&gt;AL85,"",Table_BDD[[#This Row],[Creux Drawdown]]/Table_BDD[[#This Row],[Sommet Drawdown]]-1)</f>
        <v>-8.8370502640477078E-2</v>
      </c>
      <c r="AO86" s="36">
        <f>IF(Table_BDD[[#This Row],[Position]]="","",IF(Table_BDD[[#This Row],[Type]]="buy",ROUND(Table_BDD[[#This Row],[Lvl Sortie]]-Table_BDD[[#This Row],[Lvl Entrée]],1),ROUND(Table_BDD[[#This Row],[Lvl Entrée]]-Table_BDD[[#This Row],[Lvl Sortie]],1)))</f>
        <v>-10.199999999999999</v>
      </c>
      <c r="AP86" s="36" t="str">
        <f>IF(Table_BDD[[#This Row],[Points]]&gt;0,Table_BDD[[#This Row],[Points]],"")</f>
        <v/>
      </c>
      <c r="AQ86" s="36">
        <f>IF(Table_BDD[[#This Row],[Points]]&lt;0,Table_BDD[[#This Row],[Points]],"")</f>
        <v>-10.199999999999999</v>
      </c>
      <c r="AR86" s="36">
        <f>SUM($AO$4:AO86)</f>
        <v>-87.59999999999998</v>
      </c>
      <c r="AS86" s="68">
        <f>IF(Table_BDD[[#This Row],[Position]]="","",IF(Table_BDD[[#This Row],[Conformité]]="Conforme",1,0))</f>
        <v>0</v>
      </c>
      <c r="AT86" s="68">
        <f>IF(Table_BDD[[#This Row],[Position]]="","",IF(Table_BDD[[#This Row],[Conformité]]="Non conforme",1,0))</f>
        <v>1</v>
      </c>
      <c r="AU86" s="37" t="s">
        <v>17</v>
      </c>
      <c r="AV86" s="37"/>
      <c r="AW86" s="37"/>
      <c r="AX86" s="37">
        <v>0</v>
      </c>
      <c r="AY86" s="37">
        <v>0</v>
      </c>
      <c r="AZ86" s="37">
        <v>0</v>
      </c>
      <c r="BA86" s="40" t="str">
        <f>IF(Table_BDD[[#This Row],[Position]]="","Sans objet",IF(AND(Table_BDD[[#This Row],[Type]]="sell",Table_BDD[[#This Row],[S / L]]&lt;Table_BDD[[#This Row],[Lvl Entrée]],Table_BDD[[#This Row],[Lvl Sortie]]&lt;=Table_BDD[[#This Row],[S / L]]+2,Table_BDD[[#This Row],[Lvl Sortie]]&lt;Table_BDD[[#This Row],[Lvl Entrée]]-19),"Oui",IF(AND(Table_BDD[[#This Row],[Type]]="buy",Table_BDD[[#This Row],[S / L]]&gt;Table_BDD[[#This Row],[Lvl Entrée]],Table_BDD[[#This Row],[Lvl Sortie]]&gt;=Table_BDD[[#This Row],[S / L]]-2,Table_BDD[[#This Row],[S / L]]&gt;Table_BDD[[#This Row],[Lvl Entrée]]+19),"Oui","Non")))</f>
        <v>Non</v>
      </c>
      <c r="BB86" s="40" t="str">
        <f>IF(Table_BDD[[#This Row],[Position]]="","Sans objet",IF(AND(Table_BDD[[#This Row],[Type]]="sell",Table_BDD[[#This Row],[S / L]]&lt;Table_BDD[[#This Row],[Lvl Entrée]],Table_BDD[[#This Row],[Points]]&gt;=-1),"Oui",IF(AND(Table_BDD[[#This Row],[Type]]="sell",Table_BDD[[#This Row],[S / L]]&gt;Table_BDD[[#This Row],[Lvl Entrée]]),"Non",IF(AND(Table_BDD[[#This Row],[Type]]="buy",Table_BDD[[#This Row],[S / L]]&lt;Table_BDD[[#This Row],[Lvl Entrée]]),"Non",IF(AND(Table_BDD[[#This Row],[Type]]="buy",Table_BDD[[#This Row],[S / L]]&gt;Table_BDD[[#This Row],[Lvl Entrée]],Table_BDD[[#This Row],[Points]]&gt;=-1),"Oui")))))</f>
        <v>Non</v>
      </c>
      <c r="BC86" s="40" t="str">
        <f>IF(Table_BDD[[#This Row],[Position]]="","Sans objet",IF(Table_BDD[[#This Row],[T / P]]="","Non",IF(AND(Table_BDD[[#This Row],[Type]]="sell",Table_BDD[[#This Row],[Lvl Sortie]]&lt;=Table_BDD[[#This Row],[T / P]]),"Oui",IF(AND(Table_BDD[[#This Row],[Type]]="buy",Table_BDD[[#This Row],[Lvl Sortie]]&gt;=Table_BDD[[#This Row],[T / P]]),"Oui","Non"))))</f>
        <v>Non</v>
      </c>
      <c r="BD86" s="91">
        <f t="array" ref="BD86">IFERROR(INDEX(downloadFile[#All],MATCH(Table_BDD[[#This Row],[Date]],downloadFile[[#All],[Column1]],0),2),BD85)</f>
        <v>1.0901000000000001</v>
      </c>
      <c r="BE86" s="89">
        <f>IF(Table_BDD[[#This Row],[Position]]="","",IF(Table_BDD[[#This Row],[Symbole]]="UsaInd",(Table_BDD[[#This Row],[Volume]]*Table_BDD[[#This Row],[Lvl Entrée]])/(Table_BDD[[#This Row],[Equité avant trade]]*Table_BDD[[#This Row],[EUR/USD]]),IF(Table_BDD[[#This Row],[Symbole]]="Ger30",(Table_BDD[[#This Row],[Volume]]*Table_BDD[[#This Row],[Lvl Entrée]])/Table_BDD[[#This Row],[Equité avant trade]],)))</f>
        <v>13.950806621934888</v>
      </c>
      <c r="BF86" s="38">
        <f>IF(Table_BDD[[#This Row],[Position]]="","",IF(Table_BDD[[#This Row],[Conformité]]="Non conforme",0,(MROUND(3*((Table_BDD[[#This Row],[Conviction]]+Table_BDD[[#This Row],[Timing]]+Table_BDD[[#This Row],[Sortie]])+1)-2,1))))</f>
        <v>0</v>
      </c>
      <c r="BG86" s="38" t="str">
        <f>IF(Table_BDD[[#This Row],[Position]]="","",IF(Table_BDD[[#This Row],[Points]]&lt;-5,"--",IF(AND(Table_BDD[[#This Row],[Points]]&gt;=-5,Table_BDD[[#This Row],[Points]]&lt;-1.5),"-",IF(AND(Table_BDD[[#This Row],[Points]]&gt;=-1.5,Table_BDD[[#This Row],[Points]]&lt;1.5),"0",IF(AND(Table_BDD[[#This Row],[Points]]&gt;=1.5,Table_BDD[[#This Row],[Points]]&lt;=70),"+",IF(Table_BDD[[#This Row],[Points]]&gt;70,"++"))))))</f>
        <v>--</v>
      </c>
      <c r="BH86" s="37" t="str">
        <f>IF(Table_BDD[[#This Row],[Position]]="","",IF(Table_BDD[[#This Row],[Points]]&gt;0,"Gagnant",IF(Table_BDD[[#This Row],[Points]]=0,"Flat","Perdant")))</f>
        <v>Perdant</v>
      </c>
      <c r="BI86" s="40">
        <f>IF(Table_BDD[[#This Row],[Position]]="","",IF(Table_BDD[[#This Row],[Résultat]]="Gagnant",1,0))</f>
        <v>0</v>
      </c>
      <c r="BJ86" s="40">
        <f>IF(Table_BDD[[#This Row],[Position]]="","",IF(Table_BDD[[#This Row],[Résultat]]="Perdant",1,0))</f>
        <v>1</v>
      </c>
      <c r="BK86" s="40"/>
      <c r="BL86" s="145" t="str">
        <f>IF(Table_BDD[[#This Row],[T / P]]="","",Table_BDD[[#This Row],[T / P]])</f>
        <v/>
      </c>
      <c r="BM86" s="147"/>
      <c r="BN86" s="147"/>
      <c r="BO86" s="147"/>
      <c r="BP86" s="147"/>
      <c r="BQ86" s="127"/>
    </row>
    <row r="87" spans="1:69" x14ac:dyDescent="0.2">
      <c r="A87" s="93">
        <v>43872.651006944441</v>
      </c>
      <c r="B87" s="94">
        <v>259755855</v>
      </c>
      <c r="C87" s="37" t="s">
        <v>8</v>
      </c>
      <c r="D87" s="37" t="s">
        <v>9</v>
      </c>
      <c r="E87" s="37">
        <v>0.5</v>
      </c>
      <c r="F87" s="95">
        <v>29317.34</v>
      </c>
      <c r="G87" s="95">
        <v>29307.34</v>
      </c>
      <c r="H87" s="95">
        <v>29517.34</v>
      </c>
      <c r="I87" s="93">
        <v>43872.729953703703</v>
      </c>
      <c r="J87" s="95">
        <v>29306.68</v>
      </c>
      <c r="K87" s="95">
        <v>0</v>
      </c>
      <c r="L87" s="95">
        <v>0</v>
      </c>
      <c r="M87" s="32">
        <v>-4.88</v>
      </c>
      <c r="N87" s="148">
        <f>IF(Table_BDD[[#This Row],[Position]]="","",ROW()-3)</f>
        <v>84</v>
      </c>
      <c r="O87" s="32">
        <f>SUM($L$4:M87)</f>
        <v>-45.079999999999977</v>
      </c>
      <c r="P87" s="32">
        <f>Table_BDD[[#This Row],[Equité avant trade]]+Table_BDD[[#This Row],[Profit]]+Table_BDD[[#This Row],[Echange]]</f>
        <v>954.92000000000007</v>
      </c>
      <c r="Q87" s="52">
        <f>INT(Table_BDD[[#This Row],[Horodatage cloture]])</f>
        <v>43872</v>
      </c>
      <c r="R87" s="34">
        <f>WEEKNUM(Table_BDD[[#This Row],[Horodatage cloture]],2)</f>
        <v>7</v>
      </c>
      <c r="S87" s="61">
        <f>WEEKDAY(Table_BDD[[#This Row],[Horodatage cloture]])</f>
        <v>3</v>
      </c>
      <c r="T87" s="63">
        <f>HOUR(Table_BDD[[#This Row],[Horodatage cloture]])</f>
        <v>17</v>
      </c>
      <c r="U87" s="68">
        <f>IF(Table_BDD[[#This Row],[Position]]="","",IF(Table_BDD[[#This Row],[Valeur début de journée unique]]&lt;&gt;0,1,0))</f>
        <v>0</v>
      </c>
      <c r="V87" s="68" t="str">
        <f>IF(Table_BDD[[#This Row],[Nb de séance de trading]]=1,COUNTIF(Table_BDD[Date],Table_BDD[[#This Row],[Date]]),"")</f>
        <v/>
      </c>
      <c r="W87" s="33">
        <f>IF(Table_BDD[[#This Row],[Position]]="","",IF(Table_BDD[[#This Row],[Type]]="buy",ROUND(Table_BDD[[#This Row],[Lvl Entrée]]-Table_BDD[[#This Row],[S / L]],1),ROUND(Table_BDD[[#This Row],[S / L]]-Table_BDD[[#This Row],[Lvl Entrée]],1)))</f>
        <v>10</v>
      </c>
      <c r="X87" s="33">
        <f>IF(Table_BDD[[#This Row],[Position]]="","",IF(Table_BDD[[#This Row],[T / P]]=0,200,IF(Table_BDD[[#This Row],[Type]]="buy",ROUND(Table_BDD[[#This Row],[T / P]]-Table_BDD[[#This Row],[Lvl Entrée]],1),ROUND(Table_BDD[[#This Row],[Lvl Entrée]]-Table_BDD[[#This Row],[T / P]],1))))</f>
        <v>200</v>
      </c>
      <c r="Y87" s="34">
        <f>IF(Table_BDD[[#This Row],[Position]]="","",IF(Table_BDD[[#This Row],[Ecart du SL]]&gt;0,ROUND(ABS(Table_BDD[[#This Row],[Ecart du TP]])/ABS(Table_BDD[[#This Row],[Ecart du SL]]),1),ROUND(ABS(Table_BDD[[#This Row],[Ecart du TP]])/10,1)))</f>
        <v>20</v>
      </c>
      <c r="Z87" s="34">
        <f>IF(Table_BDD[[#This Row],[Position]]="","",IF(Table_BDD[[#This Row],[Ecart du SL]]&lt;0,IF(AND(Table_BDD[[#This Row],[Profit]]&gt;0,Table_BDD[[#This Row],[Type]]="sell"),ROUND((Table_BDD[[#This Row],[Lvl Entrée]]-Table_BDD[[#This Row],[Lvl Sortie]])/(10),1),IF(AND(Table_BDD[[#This Row],[Profit]]&gt;0,Table_BDD[[#This Row],[Type]]="buy"),ROUND((Table_BDD[[#This Row],[Lvl Sortie]]-Table_BDD[[#This Row],[Lvl Entrée]])/(10),1),)),IF(AND(Table_BDD[[#This Row],[Profit]]&gt;0,Table_BDD[[#This Row],[Type]]="sell"),ROUND((Table_BDD[[#This Row],[Lvl Entrée]]-Table_BDD[[#This Row],[Lvl Sortie]])/(Table_BDD[[#This Row],[S / L]]-Table_BDD[[#This Row],[Lvl Entrée]]),1),IF(AND(Table_BDD[[#This Row],[Profit]]&gt;0,Table_BDD[[#This Row],[Type]]="buy"),ROUND((Table_BDD[[#This Row],[Lvl Sortie]]-Table_BDD[[#This Row],[Lvl Entrée]])/(Table_BDD[[#This Row],[Lvl Entrée]]-Table_BDD[[#This Row],[S / L]]),1),ROUND(Table_BDD[[#This Row],[Points]]/10,1)))))</f>
        <v>-1.1000000000000001</v>
      </c>
      <c r="AA87" s="32">
        <f>IF(Table_BDD[[#This Row],[Position]]="",AA86,Table_BDD[[#This Row],[Equité après trade]]-Table_BDD[[#This Row],[Profit]]-Table_BDD[[#This Row],[Echange]])</f>
        <v>959.80000000000007</v>
      </c>
      <c r="AB87" s="149">
        <f>$B$1+SUM($L$4:M87)</f>
        <v>954.92000000000007</v>
      </c>
      <c r="AC87" s="150">
        <f>IF(Table_BDD[[#This Row],[Position]]="","",_xlfn.MINIFS(Table_BDD[Horodatage ouverture],Table_BDD[Date],Table_BDD[Date]))</f>
        <v>43872.646979166668</v>
      </c>
      <c r="AD87" s="149">
        <f>VLOOKUP(_xlfn.MINIFS(Table_BDD[Horodatage ouverture],Table_BDD[Date],Table_BDD[Date]),Table_BDD[[Horodatage ouverture]:[Heure derniere valeur]],AA$2)</f>
        <v>984.33</v>
      </c>
      <c r="AE87" s="149">
        <f>IF(VLOOKUP(_xlfn.MINIFS(Table_BDD[Horodatage ouverture],Table_BDD[Date],Table_BDD[Date]),Table_BDD[[Horodatage ouverture]:[Heure derniere valeur]],AA$2)=Table_BDD[[#This Row],[Equité avant trade]],VLOOKUP(_xlfn.MINIFS(Table_BDD[Horodatage ouverture],Table_BDD[Date],Table_BDD[Date]),Table_BDD[[Horodatage ouverture]:[Heure derniere valeur]],AA$2),0)</f>
        <v>0</v>
      </c>
      <c r="AF87" s="150">
        <f>IF(Table_BDD[[#This Row],[Position]]="","",_xlfn.MAXIFS(Table_BDD[Horodatage ouverture],Table_BDD[Date],Table_BDD[Date]))</f>
        <v>43872.882106481484</v>
      </c>
      <c r="AG87" s="32">
        <f>VLOOKUP(_xlfn.MAXIFS(Table_BDD[Horodatage cloture],Table_BDD[Date],Table_BDD[Date]),Table_BDD[[Horodatage ouverture]:[Heure derniere valeur]],AB$2)</f>
        <v>921.11</v>
      </c>
      <c r="AH87" s="32">
        <f>IF(VLOOKUP(_xlfn.MAXIFS(Table_BDD[Horodatage cloture],Table_BDD[Date],Table_BDD[Date]),Table_BDD[[Horodatage ouverture]:[Heure derniere valeur]],AB$2)=Table_BDD[[#This Row],[Equité après trade]],VLOOKUP(_xlfn.MAXIFS(Table_BDD[Horodatage cloture],Table_BDD[Date],Table_BDD[Date]),Table_BDD[[Horodatage ouverture]:[Heure derniere valeur]],AB$2),0)</f>
        <v>0</v>
      </c>
      <c r="AI87" s="32" t="e">
        <f>IF(Table_BDD[[#This Row],[Valeur fin de journée unique]]=0,#N/A,Table_BDD[[#This Row],[Valeur fin de journée unique]])</f>
        <v>#N/A</v>
      </c>
      <c r="AJ87" s="35">
        <f>IF(Table_BDD[[#This Row],[Position]]="","",(Table_BDD[[#This Row],[Equité après trade]]-Table_BDD[[#This Row],[Equité avant trade]])/Table_BDD[[#This Row],[Equité avant trade]])</f>
        <v>-5.0843925817878671E-3</v>
      </c>
      <c r="AK87" s="35" t="str">
        <f>IFERROR(((INDEX(Table_BDD[[Trade n°]:[Valeur fin de journée unique]],Table_BDD[[#This Row],[Nb de trade du jour]]+Table_BDD[[#This Row],[Trade n°]]-1,21))-Table_BDD[[#This Row],[Valeur début de journée unique]])/Table_BDD[[#This Row],[Valeur début de journée unique]],"")</f>
        <v/>
      </c>
      <c r="AL87" s="32">
        <f>IF(Table_BDD[[#This Row],[Position]]="","",MAX(Table_BDD[[#This Row],[Cumul équité]],AL86))</f>
        <v>1052.8399999999999</v>
      </c>
      <c r="AM87" s="32">
        <f>IF(Table_BDD[[#This Row],[Position]]="","",MIN(Table_BDD[[#This Row],[Cumul équité]],AL86))</f>
        <v>954.92000000000007</v>
      </c>
      <c r="AN87" s="97">
        <f>IF(Table_BDD[[#This Row],[Sommet Drawdown]]&gt;AL86,"",Table_BDD[[#This Row],[Creux Drawdown]]/Table_BDD[[#This Row],[Sommet Drawdown]]-1)</f>
        <v>-9.3005584894190862E-2</v>
      </c>
      <c r="AO87" s="36">
        <f>IF(Table_BDD[[#This Row],[Position]]="","",IF(Table_BDD[[#This Row],[Type]]="buy",ROUND(Table_BDD[[#This Row],[Lvl Sortie]]-Table_BDD[[#This Row],[Lvl Entrée]],1),ROUND(Table_BDD[[#This Row],[Lvl Entrée]]-Table_BDD[[#This Row],[Lvl Sortie]],1)))</f>
        <v>-10.7</v>
      </c>
      <c r="AP87" s="36" t="str">
        <f>IF(Table_BDD[[#This Row],[Points]]&gt;0,Table_BDD[[#This Row],[Points]],"")</f>
        <v/>
      </c>
      <c r="AQ87" s="36">
        <f>IF(Table_BDD[[#This Row],[Points]]&lt;0,Table_BDD[[#This Row],[Points]],"")</f>
        <v>-10.7</v>
      </c>
      <c r="AR87" s="36">
        <f>SUM($AO$4:AO87)</f>
        <v>-98.299999999999983</v>
      </c>
      <c r="AS87" s="68">
        <f>IF(Table_BDD[[#This Row],[Position]]="","",IF(Table_BDD[[#This Row],[Conformité]]="Conforme",1,0))</f>
        <v>0</v>
      </c>
      <c r="AT87" s="68">
        <f>IF(Table_BDD[[#This Row],[Position]]="","",IF(Table_BDD[[#This Row],[Conformité]]="Non conforme",1,0))</f>
        <v>1</v>
      </c>
      <c r="AU87" s="37" t="s">
        <v>17</v>
      </c>
      <c r="AV87" s="37"/>
      <c r="AW87" s="37"/>
      <c r="AX87" s="37">
        <v>0</v>
      </c>
      <c r="AY87" s="37">
        <v>0</v>
      </c>
      <c r="AZ87" s="37">
        <v>0</v>
      </c>
      <c r="BA87" s="40" t="str">
        <f>IF(Table_BDD[[#This Row],[Position]]="","Sans objet",IF(AND(Table_BDD[[#This Row],[Type]]="sell",Table_BDD[[#This Row],[S / L]]&lt;Table_BDD[[#This Row],[Lvl Entrée]],Table_BDD[[#This Row],[Lvl Sortie]]&lt;=Table_BDD[[#This Row],[S / L]]+2,Table_BDD[[#This Row],[Lvl Sortie]]&lt;Table_BDD[[#This Row],[Lvl Entrée]]-19),"Oui",IF(AND(Table_BDD[[#This Row],[Type]]="buy",Table_BDD[[#This Row],[S / L]]&gt;Table_BDD[[#This Row],[Lvl Entrée]],Table_BDD[[#This Row],[Lvl Sortie]]&gt;=Table_BDD[[#This Row],[S / L]]-2,Table_BDD[[#This Row],[S / L]]&gt;Table_BDD[[#This Row],[Lvl Entrée]]+19),"Oui","Non")))</f>
        <v>Non</v>
      </c>
      <c r="BB87" s="40" t="str">
        <f>IF(Table_BDD[[#This Row],[Position]]="","Sans objet",IF(AND(Table_BDD[[#This Row],[Type]]="sell",Table_BDD[[#This Row],[S / L]]&lt;Table_BDD[[#This Row],[Lvl Entrée]],Table_BDD[[#This Row],[Points]]&gt;=-1),"Oui",IF(AND(Table_BDD[[#This Row],[Type]]="sell",Table_BDD[[#This Row],[S / L]]&gt;Table_BDD[[#This Row],[Lvl Entrée]]),"Non",IF(AND(Table_BDD[[#This Row],[Type]]="buy",Table_BDD[[#This Row],[S / L]]&lt;Table_BDD[[#This Row],[Lvl Entrée]]),"Non",IF(AND(Table_BDD[[#This Row],[Type]]="buy",Table_BDD[[#This Row],[S / L]]&gt;Table_BDD[[#This Row],[Lvl Entrée]],Table_BDD[[#This Row],[Points]]&gt;=-1),"Oui")))))</f>
        <v>Non</v>
      </c>
      <c r="BC87" s="40" t="str">
        <f>IF(Table_BDD[[#This Row],[Position]]="","Sans objet",IF(Table_BDD[[#This Row],[T / P]]="","Non",IF(AND(Table_BDD[[#This Row],[Type]]="sell",Table_BDD[[#This Row],[Lvl Sortie]]&lt;=Table_BDD[[#This Row],[T / P]]),"Oui",IF(AND(Table_BDD[[#This Row],[Type]]="buy",Table_BDD[[#This Row],[Lvl Sortie]]&gt;=Table_BDD[[#This Row],[T / P]]),"Oui","Non"))))</f>
        <v>Non</v>
      </c>
      <c r="BD87" s="91">
        <f t="array" ref="BD87">IFERROR(INDEX(downloadFile[#All],MATCH(Table_BDD[[#This Row],[Date]],downloadFile[[#All],[Column1]],0),2),BD86)</f>
        <v>1.0901000000000001</v>
      </c>
      <c r="BE87" s="89">
        <f>IF(Table_BDD[[#This Row],[Position]]="","",IF(Table_BDD[[#This Row],[Symbole]]="UsaInd",(Table_BDD[[#This Row],[Volume]]*Table_BDD[[#This Row],[Lvl Entrée]])/(Table_BDD[[#This Row],[Equité avant trade]]*Table_BDD[[#This Row],[EUR/USD]]),IF(Table_BDD[[#This Row],[Symbole]]="Ger30",(Table_BDD[[#This Row],[Volume]]*Table_BDD[[#This Row],[Lvl Entrée]])/Table_BDD[[#This Row],[Equité avant trade]],)))</f>
        <v>14.010301545292963</v>
      </c>
      <c r="BF87" s="38">
        <f>IF(Table_BDD[[#This Row],[Position]]="","",IF(Table_BDD[[#This Row],[Conformité]]="Non conforme",0,(MROUND(3*((Table_BDD[[#This Row],[Conviction]]+Table_BDD[[#This Row],[Timing]]+Table_BDD[[#This Row],[Sortie]])+1)-2,1))))</f>
        <v>0</v>
      </c>
      <c r="BG87" s="38" t="str">
        <f>IF(Table_BDD[[#This Row],[Position]]="","",IF(Table_BDD[[#This Row],[Points]]&lt;-5,"--",IF(AND(Table_BDD[[#This Row],[Points]]&gt;=-5,Table_BDD[[#This Row],[Points]]&lt;-1.5),"-",IF(AND(Table_BDD[[#This Row],[Points]]&gt;=-1.5,Table_BDD[[#This Row],[Points]]&lt;1.5),"0",IF(AND(Table_BDD[[#This Row],[Points]]&gt;=1.5,Table_BDD[[#This Row],[Points]]&lt;=70),"+",IF(Table_BDD[[#This Row],[Points]]&gt;70,"++"))))))</f>
        <v>--</v>
      </c>
      <c r="BH87" s="37" t="str">
        <f>IF(Table_BDD[[#This Row],[Position]]="","",IF(Table_BDD[[#This Row],[Points]]&gt;0,"Gagnant",IF(Table_BDD[[#This Row],[Points]]=0,"Flat","Perdant")))</f>
        <v>Perdant</v>
      </c>
      <c r="BI87" s="40">
        <f>IF(Table_BDD[[#This Row],[Position]]="","",IF(Table_BDD[[#This Row],[Résultat]]="Gagnant",1,0))</f>
        <v>0</v>
      </c>
      <c r="BJ87" s="40">
        <f>IF(Table_BDD[[#This Row],[Position]]="","",IF(Table_BDD[[#This Row],[Résultat]]="Perdant",1,0))</f>
        <v>1</v>
      </c>
      <c r="BK87" s="40"/>
      <c r="BL87" s="145">
        <f>IF(Table_BDD[[#This Row],[T / P]]="","",Table_BDD[[#This Row],[T / P]])</f>
        <v>29517.34</v>
      </c>
      <c r="BM87" s="147"/>
      <c r="BN87" s="147"/>
      <c r="BO87" s="147"/>
      <c r="BP87" s="147"/>
      <c r="BQ87" s="127"/>
    </row>
    <row r="88" spans="1:69" x14ac:dyDescent="0.2">
      <c r="A88" s="93">
        <v>43872.732592592591</v>
      </c>
      <c r="B88" s="94">
        <v>259771742</v>
      </c>
      <c r="C88" s="37" t="s">
        <v>8</v>
      </c>
      <c r="D88" s="37" t="s">
        <v>9</v>
      </c>
      <c r="E88" s="37">
        <v>0.5</v>
      </c>
      <c r="F88" s="95">
        <v>29286.75</v>
      </c>
      <c r="G88" s="95">
        <v>29275.759999999998</v>
      </c>
      <c r="H88" s="95"/>
      <c r="I88" s="93">
        <v>43872.733344907407</v>
      </c>
      <c r="J88" s="95">
        <v>29275.47</v>
      </c>
      <c r="K88" s="95">
        <v>0</v>
      </c>
      <c r="L88" s="95">
        <v>0</v>
      </c>
      <c r="M88" s="32">
        <v>-5.17</v>
      </c>
      <c r="N88" s="148">
        <f>IF(Table_BDD[[#This Row],[Position]]="","",ROW()-3)</f>
        <v>85</v>
      </c>
      <c r="O88" s="32">
        <f>SUM($L$4:M88)</f>
        <v>-50.249999999999979</v>
      </c>
      <c r="P88" s="32">
        <f>Table_BDD[[#This Row],[Equité avant trade]]+Table_BDD[[#This Row],[Profit]]+Table_BDD[[#This Row],[Echange]]</f>
        <v>949.75</v>
      </c>
      <c r="Q88" s="52">
        <f>INT(Table_BDD[[#This Row],[Horodatage cloture]])</f>
        <v>43872</v>
      </c>
      <c r="R88" s="34">
        <f>WEEKNUM(Table_BDD[[#This Row],[Horodatage cloture]],2)</f>
        <v>7</v>
      </c>
      <c r="S88" s="61">
        <f>WEEKDAY(Table_BDD[[#This Row],[Horodatage cloture]])</f>
        <v>3</v>
      </c>
      <c r="T88" s="63">
        <f>HOUR(Table_BDD[[#This Row],[Horodatage cloture]])</f>
        <v>17</v>
      </c>
      <c r="U88" s="68">
        <f>IF(Table_BDD[[#This Row],[Position]]="","",IF(Table_BDD[[#This Row],[Valeur début de journée unique]]&lt;&gt;0,1,0))</f>
        <v>0</v>
      </c>
      <c r="V88" s="68" t="str">
        <f>IF(Table_BDD[[#This Row],[Nb de séance de trading]]=1,COUNTIF(Table_BDD[Date],Table_BDD[[#This Row],[Date]]),"")</f>
        <v/>
      </c>
      <c r="W88" s="33">
        <f>IF(Table_BDD[[#This Row],[Position]]="","",IF(Table_BDD[[#This Row],[Type]]="buy",ROUND(Table_BDD[[#This Row],[Lvl Entrée]]-Table_BDD[[#This Row],[S / L]],1),ROUND(Table_BDD[[#This Row],[S / L]]-Table_BDD[[#This Row],[Lvl Entrée]],1)))</f>
        <v>11</v>
      </c>
      <c r="X88" s="33">
        <f>IF(Table_BDD[[#This Row],[Position]]="","",IF(Table_BDD[[#This Row],[T / P]]=0,200,IF(Table_BDD[[#This Row],[Type]]="buy",ROUND(Table_BDD[[#This Row],[T / P]]-Table_BDD[[#This Row],[Lvl Entrée]],1),ROUND(Table_BDD[[#This Row],[Lvl Entrée]]-Table_BDD[[#This Row],[T / P]],1))))</f>
        <v>200</v>
      </c>
      <c r="Y88" s="34">
        <f>IF(Table_BDD[[#This Row],[Position]]="","",IF(Table_BDD[[#This Row],[Ecart du SL]]&gt;0,ROUND(ABS(Table_BDD[[#This Row],[Ecart du TP]])/ABS(Table_BDD[[#This Row],[Ecart du SL]]),1),ROUND(ABS(Table_BDD[[#This Row],[Ecart du TP]])/10,1)))</f>
        <v>18.2</v>
      </c>
      <c r="Z88" s="34">
        <f>IF(Table_BDD[[#This Row],[Position]]="","",IF(Table_BDD[[#This Row],[Ecart du SL]]&lt;0,IF(AND(Table_BDD[[#This Row],[Profit]]&gt;0,Table_BDD[[#This Row],[Type]]="sell"),ROUND((Table_BDD[[#This Row],[Lvl Entrée]]-Table_BDD[[#This Row],[Lvl Sortie]])/(10),1),IF(AND(Table_BDD[[#This Row],[Profit]]&gt;0,Table_BDD[[#This Row],[Type]]="buy"),ROUND((Table_BDD[[#This Row],[Lvl Sortie]]-Table_BDD[[#This Row],[Lvl Entrée]])/(10),1),)),IF(AND(Table_BDD[[#This Row],[Profit]]&gt;0,Table_BDD[[#This Row],[Type]]="sell"),ROUND((Table_BDD[[#This Row],[Lvl Entrée]]-Table_BDD[[#This Row],[Lvl Sortie]])/(Table_BDD[[#This Row],[S / L]]-Table_BDD[[#This Row],[Lvl Entrée]]),1),IF(AND(Table_BDD[[#This Row],[Profit]]&gt;0,Table_BDD[[#This Row],[Type]]="buy"),ROUND((Table_BDD[[#This Row],[Lvl Sortie]]-Table_BDD[[#This Row],[Lvl Entrée]])/(Table_BDD[[#This Row],[Lvl Entrée]]-Table_BDD[[#This Row],[S / L]]),1),ROUND(Table_BDD[[#This Row],[Points]]/10,1)))))</f>
        <v>-1.1000000000000001</v>
      </c>
      <c r="AA88" s="32">
        <f>IF(Table_BDD[[#This Row],[Position]]="",AA87,Table_BDD[[#This Row],[Equité après trade]]-Table_BDD[[#This Row],[Profit]]-Table_BDD[[#This Row],[Echange]])</f>
        <v>954.92</v>
      </c>
      <c r="AB88" s="149">
        <f>$B$1+SUM($L$4:M88)</f>
        <v>949.75</v>
      </c>
      <c r="AC88" s="150">
        <f>IF(Table_BDD[[#This Row],[Position]]="","",_xlfn.MINIFS(Table_BDD[Horodatage ouverture],Table_BDD[Date],Table_BDD[Date]))</f>
        <v>43872.646979166668</v>
      </c>
      <c r="AD88" s="149">
        <f>VLOOKUP(_xlfn.MINIFS(Table_BDD[Horodatage ouverture],Table_BDD[Date],Table_BDD[Date]),Table_BDD[[Horodatage ouverture]:[Heure derniere valeur]],AA$2)</f>
        <v>984.33</v>
      </c>
      <c r="AE88" s="149">
        <f>IF(VLOOKUP(_xlfn.MINIFS(Table_BDD[Horodatage ouverture],Table_BDD[Date],Table_BDD[Date]),Table_BDD[[Horodatage ouverture]:[Heure derniere valeur]],AA$2)=Table_BDD[[#This Row],[Equité avant trade]],VLOOKUP(_xlfn.MINIFS(Table_BDD[Horodatage ouverture],Table_BDD[Date],Table_BDD[Date]),Table_BDD[[Horodatage ouverture]:[Heure derniere valeur]],AA$2),0)</f>
        <v>0</v>
      </c>
      <c r="AF88" s="150">
        <f>IF(Table_BDD[[#This Row],[Position]]="","",_xlfn.MAXIFS(Table_BDD[Horodatage ouverture],Table_BDD[Date],Table_BDD[Date]))</f>
        <v>43872.882106481484</v>
      </c>
      <c r="AG88" s="32">
        <f>VLOOKUP(_xlfn.MAXIFS(Table_BDD[Horodatage cloture],Table_BDD[Date],Table_BDD[Date]),Table_BDD[[Horodatage ouverture]:[Heure derniere valeur]],AB$2)</f>
        <v>921.11</v>
      </c>
      <c r="AH88" s="32">
        <f>IF(VLOOKUP(_xlfn.MAXIFS(Table_BDD[Horodatage cloture],Table_BDD[Date],Table_BDD[Date]),Table_BDD[[Horodatage ouverture]:[Heure derniere valeur]],AB$2)=Table_BDD[[#This Row],[Equité après trade]],VLOOKUP(_xlfn.MAXIFS(Table_BDD[Horodatage cloture],Table_BDD[Date],Table_BDD[Date]),Table_BDD[[Horodatage ouverture]:[Heure derniere valeur]],AB$2),0)</f>
        <v>0</v>
      </c>
      <c r="AI88" s="32" t="e">
        <f>IF(Table_BDD[[#This Row],[Valeur fin de journée unique]]=0,#N/A,Table_BDD[[#This Row],[Valeur fin de journée unique]])</f>
        <v>#N/A</v>
      </c>
      <c r="AJ88" s="35">
        <f>IF(Table_BDD[[#This Row],[Position]]="","",(Table_BDD[[#This Row],[Equité après trade]]-Table_BDD[[#This Row],[Equité avant trade]])/Table_BDD[[#This Row],[Equité avant trade]])</f>
        <v>-5.4140660997779493E-3</v>
      </c>
      <c r="AK88" s="35" t="str">
        <f>IFERROR(((INDEX(Table_BDD[[Trade n°]:[Valeur fin de journée unique]],Table_BDD[[#This Row],[Nb de trade du jour]]+Table_BDD[[#This Row],[Trade n°]]-1,21))-Table_BDD[[#This Row],[Valeur début de journée unique]])/Table_BDD[[#This Row],[Valeur début de journée unique]],"")</f>
        <v/>
      </c>
      <c r="AL88" s="32">
        <f>IF(Table_BDD[[#This Row],[Position]]="","",MAX(Table_BDD[[#This Row],[Cumul équité]],AL87))</f>
        <v>1052.8399999999999</v>
      </c>
      <c r="AM88" s="32">
        <f>IF(Table_BDD[[#This Row],[Position]]="","",MIN(Table_BDD[[#This Row],[Cumul équité]],AL87))</f>
        <v>949.75</v>
      </c>
      <c r="AN88" s="97">
        <f>IF(Table_BDD[[#This Row],[Sommet Drawdown]]&gt;AL87,"",Table_BDD[[#This Row],[Creux Drawdown]]/Table_BDD[[#This Row],[Sommet Drawdown]]-1)</f>
        <v>-9.7916112609703232E-2</v>
      </c>
      <c r="AO88" s="36">
        <f>IF(Table_BDD[[#This Row],[Position]]="","",IF(Table_BDD[[#This Row],[Type]]="buy",ROUND(Table_BDD[[#This Row],[Lvl Sortie]]-Table_BDD[[#This Row],[Lvl Entrée]],1),ROUND(Table_BDD[[#This Row],[Lvl Entrée]]-Table_BDD[[#This Row],[Lvl Sortie]],1)))</f>
        <v>-11.3</v>
      </c>
      <c r="AP88" s="36" t="str">
        <f>IF(Table_BDD[[#This Row],[Points]]&gt;0,Table_BDD[[#This Row],[Points]],"")</f>
        <v/>
      </c>
      <c r="AQ88" s="36">
        <f>IF(Table_BDD[[#This Row],[Points]]&lt;0,Table_BDD[[#This Row],[Points]],"")</f>
        <v>-11.3</v>
      </c>
      <c r="AR88" s="36">
        <f>SUM($AO$4:AO88)</f>
        <v>-109.59999999999998</v>
      </c>
      <c r="AS88" s="68">
        <f>IF(Table_BDD[[#This Row],[Position]]="","",IF(Table_BDD[[#This Row],[Conformité]]="Conforme",1,0))</f>
        <v>0</v>
      </c>
      <c r="AT88" s="68">
        <f>IF(Table_BDD[[#This Row],[Position]]="","",IF(Table_BDD[[#This Row],[Conformité]]="Non conforme",1,0))</f>
        <v>1</v>
      </c>
      <c r="AU88" s="37" t="s">
        <v>17</v>
      </c>
      <c r="AV88" s="37"/>
      <c r="AW88" s="37"/>
      <c r="AX88" s="37">
        <v>0</v>
      </c>
      <c r="AY88" s="37">
        <v>0</v>
      </c>
      <c r="AZ88" s="37">
        <v>0</v>
      </c>
      <c r="BA88" s="40" t="str">
        <f>IF(Table_BDD[[#This Row],[Position]]="","Sans objet",IF(AND(Table_BDD[[#This Row],[Type]]="sell",Table_BDD[[#This Row],[S / L]]&lt;Table_BDD[[#This Row],[Lvl Entrée]],Table_BDD[[#This Row],[Lvl Sortie]]&lt;=Table_BDD[[#This Row],[S / L]]+2,Table_BDD[[#This Row],[Lvl Sortie]]&lt;Table_BDD[[#This Row],[Lvl Entrée]]-19),"Oui",IF(AND(Table_BDD[[#This Row],[Type]]="buy",Table_BDD[[#This Row],[S / L]]&gt;Table_BDD[[#This Row],[Lvl Entrée]],Table_BDD[[#This Row],[Lvl Sortie]]&gt;=Table_BDD[[#This Row],[S / L]]-2,Table_BDD[[#This Row],[S / L]]&gt;Table_BDD[[#This Row],[Lvl Entrée]]+19),"Oui","Non")))</f>
        <v>Non</v>
      </c>
      <c r="BB88" s="40" t="str">
        <f>IF(Table_BDD[[#This Row],[Position]]="","Sans objet",IF(AND(Table_BDD[[#This Row],[Type]]="sell",Table_BDD[[#This Row],[S / L]]&lt;Table_BDD[[#This Row],[Lvl Entrée]],Table_BDD[[#This Row],[Points]]&gt;=-1),"Oui",IF(AND(Table_BDD[[#This Row],[Type]]="sell",Table_BDD[[#This Row],[S / L]]&gt;Table_BDD[[#This Row],[Lvl Entrée]]),"Non",IF(AND(Table_BDD[[#This Row],[Type]]="buy",Table_BDD[[#This Row],[S / L]]&lt;Table_BDD[[#This Row],[Lvl Entrée]]),"Non",IF(AND(Table_BDD[[#This Row],[Type]]="buy",Table_BDD[[#This Row],[S / L]]&gt;Table_BDD[[#This Row],[Lvl Entrée]],Table_BDD[[#This Row],[Points]]&gt;=-1),"Oui")))))</f>
        <v>Non</v>
      </c>
      <c r="BC88" s="40" t="str">
        <f>IF(Table_BDD[[#This Row],[Position]]="","Sans objet",IF(Table_BDD[[#This Row],[T / P]]="","Non",IF(AND(Table_BDD[[#This Row],[Type]]="sell",Table_BDD[[#This Row],[Lvl Sortie]]&lt;=Table_BDD[[#This Row],[T / P]]),"Oui",IF(AND(Table_BDD[[#This Row],[Type]]="buy",Table_BDD[[#This Row],[Lvl Sortie]]&gt;=Table_BDD[[#This Row],[T / P]]),"Oui","Non"))))</f>
        <v>Non</v>
      </c>
      <c r="BD88" s="91">
        <f t="array" ref="BD88">IFERROR(INDEX(downloadFile[#All],MATCH(Table_BDD[[#This Row],[Date]],downloadFile[[#All],[Column1]],0),2),BD87)</f>
        <v>1.0901000000000001</v>
      </c>
      <c r="BE88" s="89">
        <f>IF(Table_BDD[[#This Row],[Position]]="","",IF(Table_BDD[[#This Row],[Symbole]]="UsaInd",(Table_BDD[[#This Row],[Volume]]*Table_BDD[[#This Row],[Lvl Entrée]])/(Table_BDD[[#This Row],[Equité avant trade]]*Table_BDD[[#This Row],[EUR/USD]]),IF(Table_BDD[[#This Row],[Symbole]]="Ger30",(Table_BDD[[#This Row],[Volume]]*Table_BDD[[#This Row],[Lvl Entrée]])/Table_BDD[[#This Row],[Equité avant trade]],)))</f>
        <v>14.067206258442484</v>
      </c>
      <c r="BF88" s="38">
        <f>IF(Table_BDD[[#This Row],[Position]]="","",IF(Table_BDD[[#This Row],[Conformité]]="Non conforme",0,(MROUND(3*((Table_BDD[[#This Row],[Conviction]]+Table_BDD[[#This Row],[Timing]]+Table_BDD[[#This Row],[Sortie]])+1)-2,1))))</f>
        <v>0</v>
      </c>
      <c r="BG88" s="38" t="str">
        <f>IF(Table_BDD[[#This Row],[Position]]="","",IF(Table_BDD[[#This Row],[Points]]&lt;-5,"--",IF(AND(Table_BDD[[#This Row],[Points]]&gt;=-5,Table_BDD[[#This Row],[Points]]&lt;-1.5),"-",IF(AND(Table_BDD[[#This Row],[Points]]&gt;=-1.5,Table_BDD[[#This Row],[Points]]&lt;1.5),"0",IF(AND(Table_BDD[[#This Row],[Points]]&gt;=1.5,Table_BDD[[#This Row],[Points]]&lt;=70),"+",IF(Table_BDD[[#This Row],[Points]]&gt;70,"++"))))))</f>
        <v>--</v>
      </c>
      <c r="BH88" s="37" t="str">
        <f>IF(Table_BDD[[#This Row],[Position]]="","",IF(Table_BDD[[#This Row],[Points]]&gt;0,"Gagnant",IF(Table_BDD[[#This Row],[Points]]=0,"Flat","Perdant")))</f>
        <v>Perdant</v>
      </c>
      <c r="BI88" s="40">
        <f>IF(Table_BDD[[#This Row],[Position]]="","",IF(Table_BDD[[#This Row],[Résultat]]="Gagnant",1,0))</f>
        <v>0</v>
      </c>
      <c r="BJ88" s="40">
        <f>IF(Table_BDD[[#This Row],[Position]]="","",IF(Table_BDD[[#This Row],[Résultat]]="Perdant",1,0))</f>
        <v>1</v>
      </c>
      <c r="BK88" s="40"/>
      <c r="BL88" s="145" t="str">
        <f>IF(Table_BDD[[#This Row],[T / P]]="","",Table_BDD[[#This Row],[T / P]])</f>
        <v/>
      </c>
      <c r="BM88" s="147"/>
      <c r="BN88" s="147"/>
      <c r="BO88" s="147"/>
      <c r="BP88" s="147"/>
      <c r="BQ88" s="127"/>
    </row>
    <row r="89" spans="1:69" x14ac:dyDescent="0.2">
      <c r="A89" s="93">
        <v>43872.733402777776</v>
      </c>
      <c r="B89" s="94">
        <v>259772002</v>
      </c>
      <c r="C89" s="37" t="s">
        <v>8</v>
      </c>
      <c r="D89" s="37" t="s">
        <v>9</v>
      </c>
      <c r="E89" s="37">
        <v>0.5</v>
      </c>
      <c r="F89" s="95">
        <v>29274.49</v>
      </c>
      <c r="G89" s="95">
        <v>29264.49</v>
      </c>
      <c r="H89" s="95"/>
      <c r="I89" s="93">
        <v>43872.734247685185</v>
      </c>
      <c r="J89" s="95">
        <v>29263.55</v>
      </c>
      <c r="K89" s="95">
        <v>0</v>
      </c>
      <c r="L89" s="95">
        <v>0</v>
      </c>
      <c r="M89" s="32">
        <v>-5.01</v>
      </c>
      <c r="N89" s="148">
        <f>IF(Table_BDD[[#This Row],[Position]]="","",ROW()-3)</f>
        <v>86</v>
      </c>
      <c r="O89" s="32">
        <f>SUM($L$4:M89)</f>
        <v>-55.259999999999977</v>
      </c>
      <c r="P89" s="32">
        <f>Table_BDD[[#This Row],[Equité avant trade]]+Table_BDD[[#This Row],[Profit]]+Table_BDD[[#This Row],[Echange]]</f>
        <v>944.74</v>
      </c>
      <c r="Q89" s="52">
        <f>INT(Table_BDD[[#This Row],[Horodatage cloture]])</f>
        <v>43872</v>
      </c>
      <c r="R89" s="34">
        <f>WEEKNUM(Table_BDD[[#This Row],[Horodatage cloture]],2)</f>
        <v>7</v>
      </c>
      <c r="S89" s="61">
        <f>WEEKDAY(Table_BDD[[#This Row],[Horodatage cloture]])</f>
        <v>3</v>
      </c>
      <c r="T89" s="63">
        <f>HOUR(Table_BDD[[#This Row],[Horodatage cloture]])</f>
        <v>17</v>
      </c>
      <c r="U89" s="68">
        <f>IF(Table_BDD[[#This Row],[Position]]="","",IF(Table_BDD[[#This Row],[Valeur début de journée unique]]&lt;&gt;0,1,0))</f>
        <v>0</v>
      </c>
      <c r="V89" s="68" t="str">
        <f>IF(Table_BDD[[#This Row],[Nb de séance de trading]]=1,COUNTIF(Table_BDD[Date],Table_BDD[[#This Row],[Date]]),"")</f>
        <v/>
      </c>
      <c r="W89" s="33">
        <f>IF(Table_BDD[[#This Row],[Position]]="","",IF(Table_BDD[[#This Row],[Type]]="buy",ROUND(Table_BDD[[#This Row],[Lvl Entrée]]-Table_BDD[[#This Row],[S / L]],1),ROUND(Table_BDD[[#This Row],[S / L]]-Table_BDD[[#This Row],[Lvl Entrée]],1)))</f>
        <v>10</v>
      </c>
      <c r="X89" s="33">
        <f>IF(Table_BDD[[#This Row],[Position]]="","",IF(Table_BDD[[#This Row],[T / P]]=0,200,IF(Table_BDD[[#This Row],[Type]]="buy",ROUND(Table_BDD[[#This Row],[T / P]]-Table_BDD[[#This Row],[Lvl Entrée]],1),ROUND(Table_BDD[[#This Row],[Lvl Entrée]]-Table_BDD[[#This Row],[T / P]],1))))</f>
        <v>200</v>
      </c>
      <c r="Y89" s="34">
        <f>IF(Table_BDD[[#This Row],[Position]]="","",IF(Table_BDD[[#This Row],[Ecart du SL]]&gt;0,ROUND(ABS(Table_BDD[[#This Row],[Ecart du TP]])/ABS(Table_BDD[[#This Row],[Ecart du SL]]),1),ROUND(ABS(Table_BDD[[#This Row],[Ecart du TP]])/10,1)))</f>
        <v>20</v>
      </c>
      <c r="Z89" s="34">
        <f>IF(Table_BDD[[#This Row],[Position]]="","",IF(Table_BDD[[#This Row],[Ecart du SL]]&lt;0,IF(AND(Table_BDD[[#This Row],[Profit]]&gt;0,Table_BDD[[#This Row],[Type]]="sell"),ROUND((Table_BDD[[#This Row],[Lvl Entrée]]-Table_BDD[[#This Row],[Lvl Sortie]])/(10),1),IF(AND(Table_BDD[[#This Row],[Profit]]&gt;0,Table_BDD[[#This Row],[Type]]="buy"),ROUND((Table_BDD[[#This Row],[Lvl Sortie]]-Table_BDD[[#This Row],[Lvl Entrée]])/(10),1),)),IF(AND(Table_BDD[[#This Row],[Profit]]&gt;0,Table_BDD[[#This Row],[Type]]="sell"),ROUND((Table_BDD[[#This Row],[Lvl Entrée]]-Table_BDD[[#This Row],[Lvl Sortie]])/(Table_BDD[[#This Row],[S / L]]-Table_BDD[[#This Row],[Lvl Entrée]]),1),IF(AND(Table_BDD[[#This Row],[Profit]]&gt;0,Table_BDD[[#This Row],[Type]]="buy"),ROUND((Table_BDD[[#This Row],[Lvl Sortie]]-Table_BDD[[#This Row],[Lvl Entrée]])/(Table_BDD[[#This Row],[Lvl Entrée]]-Table_BDD[[#This Row],[S / L]]),1),ROUND(Table_BDD[[#This Row],[Points]]/10,1)))))</f>
        <v>-1.1000000000000001</v>
      </c>
      <c r="AA89" s="32">
        <f>IF(Table_BDD[[#This Row],[Position]]="",AA88,Table_BDD[[#This Row],[Equité après trade]]-Table_BDD[[#This Row],[Profit]]-Table_BDD[[#This Row],[Echange]])</f>
        <v>949.75</v>
      </c>
      <c r="AB89" s="149">
        <f>$B$1+SUM($L$4:M89)</f>
        <v>944.74</v>
      </c>
      <c r="AC89" s="150">
        <f>IF(Table_BDD[[#This Row],[Position]]="","",_xlfn.MINIFS(Table_BDD[Horodatage ouverture],Table_BDD[Date],Table_BDD[Date]))</f>
        <v>43872.646979166668</v>
      </c>
      <c r="AD89" s="149">
        <f>VLOOKUP(_xlfn.MINIFS(Table_BDD[Horodatage ouverture],Table_BDD[Date],Table_BDD[Date]),Table_BDD[[Horodatage ouverture]:[Heure derniere valeur]],AA$2)</f>
        <v>984.33</v>
      </c>
      <c r="AE89" s="149">
        <f>IF(VLOOKUP(_xlfn.MINIFS(Table_BDD[Horodatage ouverture],Table_BDD[Date],Table_BDD[Date]),Table_BDD[[Horodatage ouverture]:[Heure derniere valeur]],AA$2)=Table_BDD[[#This Row],[Equité avant trade]],VLOOKUP(_xlfn.MINIFS(Table_BDD[Horodatage ouverture],Table_BDD[Date],Table_BDD[Date]),Table_BDD[[Horodatage ouverture]:[Heure derniere valeur]],AA$2),0)</f>
        <v>0</v>
      </c>
      <c r="AF89" s="150">
        <f>IF(Table_BDD[[#This Row],[Position]]="","",_xlfn.MAXIFS(Table_BDD[Horodatage ouverture],Table_BDD[Date],Table_BDD[Date]))</f>
        <v>43872.882106481484</v>
      </c>
      <c r="AG89" s="32">
        <f>VLOOKUP(_xlfn.MAXIFS(Table_BDD[Horodatage cloture],Table_BDD[Date],Table_BDD[Date]),Table_BDD[[Horodatage ouverture]:[Heure derniere valeur]],AB$2)</f>
        <v>921.11</v>
      </c>
      <c r="AH89" s="32">
        <f>IF(VLOOKUP(_xlfn.MAXIFS(Table_BDD[Horodatage cloture],Table_BDD[Date],Table_BDD[Date]),Table_BDD[[Horodatage ouverture]:[Heure derniere valeur]],AB$2)=Table_BDD[[#This Row],[Equité après trade]],VLOOKUP(_xlfn.MAXIFS(Table_BDD[Horodatage cloture],Table_BDD[Date],Table_BDD[Date]),Table_BDD[[Horodatage ouverture]:[Heure derniere valeur]],AB$2),0)</f>
        <v>0</v>
      </c>
      <c r="AI89" s="32" t="e">
        <f>IF(Table_BDD[[#This Row],[Valeur fin de journée unique]]=0,#N/A,Table_BDD[[#This Row],[Valeur fin de journée unique]])</f>
        <v>#N/A</v>
      </c>
      <c r="AJ89" s="35">
        <f>IF(Table_BDD[[#This Row],[Position]]="","",(Table_BDD[[#This Row],[Equité après trade]]-Table_BDD[[#This Row],[Equité avant trade]])/Table_BDD[[#This Row],[Equité avant trade]])</f>
        <v>-5.2750723874703774E-3</v>
      </c>
      <c r="AK89" s="35" t="str">
        <f>IFERROR(((INDEX(Table_BDD[[Trade n°]:[Valeur fin de journée unique]],Table_BDD[[#This Row],[Nb de trade du jour]]+Table_BDD[[#This Row],[Trade n°]]-1,21))-Table_BDD[[#This Row],[Valeur début de journée unique]])/Table_BDD[[#This Row],[Valeur début de journée unique]],"")</f>
        <v/>
      </c>
      <c r="AL89" s="32">
        <f>IF(Table_BDD[[#This Row],[Position]]="","",MAX(Table_BDD[[#This Row],[Cumul équité]],AL88))</f>
        <v>1052.8399999999999</v>
      </c>
      <c r="AM89" s="32">
        <f>IF(Table_BDD[[#This Row],[Position]]="","",MIN(Table_BDD[[#This Row],[Cumul équité]],AL88))</f>
        <v>944.74</v>
      </c>
      <c r="AN89" s="97">
        <f>IF(Table_BDD[[#This Row],[Sommet Drawdown]]&gt;AL88,"",Table_BDD[[#This Row],[Creux Drawdown]]/Table_BDD[[#This Row],[Sommet Drawdown]]-1)</f>
        <v>-0.10267467041525769</v>
      </c>
      <c r="AO89" s="36">
        <f>IF(Table_BDD[[#This Row],[Position]]="","",IF(Table_BDD[[#This Row],[Type]]="buy",ROUND(Table_BDD[[#This Row],[Lvl Sortie]]-Table_BDD[[#This Row],[Lvl Entrée]],1),ROUND(Table_BDD[[#This Row],[Lvl Entrée]]-Table_BDD[[#This Row],[Lvl Sortie]],1)))</f>
        <v>-10.9</v>
      </c>
      <c r="AP89" s="36" t="str">
        <f>IF(Table_BDD[[#This Row],[Points]]&gt;0,Table_BDD[[#This Row],[Points]],"")</f>
        <v/>
      </c>
      <c r="AQ89" s="36">
        <f>IF(Table_BDD[[#This Row],[Points]]&lt;0,Table_BDD[[#This Row],[Points]],"")</f>
        <v>-10.9</v>
      </c>
      <c r="AR89" s="36">
        <f>SUM($AO$4:AO89)</f>
        <v>-120.49999999999999</v>
      </c>
      <c r="AS89" s="68">
        <f>IF(Table_BDD[[#This Row],[Position]]="","",IF(Table_BDD[[#This Row],[Conformité]]="Conforme",1,0))</f>
        <v>0</v>
      </c>
      <c r="AT89" s="68">
        <f>IF(Table_BDD[[#This Row],[Position]]="","",IF(Table_BDD[[#This Row],[Conformité]]="Non conforme",1,0))</f>
        <v>1</v>
      </c>
      <c r="AU89" s="37" t="s">
        <v>17</v>
      </c>
      <c r="AV89" s="37"/>
      <c r="AW89" s="37"/>
      <c r="AX89" s="37">
        <v>0</v>
      </c>
      <c r="AY89" s="37">
        <v>0</v>
      </c>
      <c r="AZ89" s="37">
        <v>0</v>
      </c>
      <c r="BA89" s="40" t="str">
        <f>IF(Table_BDD[[#This Row],[Position]]="","Sans objet",IF(AND(Table_BDD[[#This Row],[Type]]="sell",Table_BDD[[#This Row],[S / L]]&lt;Table_BDD[[#This Row],[Lvl Entrée]],Table_BDD[[#This Row],[Lvl Sortie]]&lt;=Table_BDD[[#This Row],[S / L]]+2,Table_BDD[[#This Row],[Lvl Sortie]]&lt;Table_BDD[[#This Row],[Lvl Entrée]]-19),"Oui",IF(AND(Table_BDD[[#This Row],[Type]]="buy",Table_BDD[[#This Row],[S / L]]&gt;Table_BDD[[#This Row],[Lvl Entrée]],Table_BDD[[#This Row],[Lvl Sortie]]&gt;=Table_BDD[[#This Row],[S / L]]-2,Table_BDD[[#This Row],[S / L]]&gt;Table_BDD[[#This Row],[Lvl Entrée]]+19),"Oui","Non")))</f>
        <v>Non</v>
      </c>
      <c r="BB89" s="40" t="str">
        <f>IF(Table_BDD[[#This Row],[Position]]="","Sans objet",IF(AND(Table_BDD[[#This Row],[Type]]="sell",Table_BDD[[#This Row],[S / L]]&lt;Table_BDD[[#This Row],[Lvl Entrée]],Table_BDD[[#This Row],[Points]]&gt;=-1),"Oui",IF(AND(Table_BDD[[#This Row],[Type]]="sell",Table_BDD[[#This Row],[S / L]]&gt;Table_BDD[[#This Row],[Lvl Entrée]]),"Non",IF(AND(Table_BDD[[#This Row],[Type]]="buy",Table_BDD[[#This Row],[S / L]]&lt;Table_BDD[[#This Row],[Lvl Entrée]]),"Non",IF(AND(Table_BDD[[#This Row],[Type]]="buy",Table_BDD[[#This Row],[S / L]]&gt;Table_BDD[[#This Row],[Lvl Entrée]],Table_BDD[[#This Row],[Points]]&gt;=-1),"Oui")))))</f>
        <v>Non</v>
      </c>
      <c r="BC89" s="40" t="str">
        <f>IF(Table_BDD[[#This Row],[Position]]="","Sans objet",IF(Table_BDD[[#This Row],[T / P]]="","Non",IF(AND(Table_BDD[[#This Row],[Type]]="sell",Table_BDD[[#This Row],[Lvl Sortie]]&lt;=Table_BDD[[#This Row],[T / P]]),"Oui",IF(AND(Table_BDD[[#This Row],[Type]]="buy",Table_BDD[[#This Row],[Lvl Sortie]]&gt;=Table_BDD[[#This Row],[T / P]]),"Oui","Non"))))</f>
        <v>Non</v>
      </c>
      <c r="BD89" s="91">
        <f t="array" ref="BD89">IFERROR(INDEX(downloadFile[#All],MATCH(Table_BDD[[#This Row],[Date]],downloadFile[[#All],[Column1]],0),2),BD88)</f>
        <v>1.0901000000000001</v>
      </c>
      <c r="BE89" s="89">
        <f>IF(Table_BDD[[#This Row],[Position]]="","",IF(Table_BDD[[#This Row],[Symbole]]="UsaInd",(Table_BDD[[#This Row],[Volume]]*Table_BDD[[#This Row],[Lvl Entrée]])/(Table_BDD[[#This Row],[Equité avant trade]]*Table_BDD[[#This Row],[EUR/USD]]),IF(Table_BDD[[#This Row],[Symbole]]="Ger30",(Table_BDD[[#This Row],[Volume]]*Table_BDD[[#This Row],[Lvl Entrée]])/Table_BDD[[#This Row],[Equité avant trade]],)))</f>
        <v>14.137860766521078</v>
      </c>
      <c r="BF89" s="38">
        <f>IF(Table_BDD[[#This Row],[Position]]="","",IF(Table_BDD[[#This Row],[Conformité]]="Non conforme",0,(MROUND(3*((Table_BDD[[#This Row],[Conviction]]+Table_BDD[[#This Row],[Timing]]+Table_BDD[[#This Row],[Sortie]])+1)-2,1))))</f>
        <v>0</v>
      </c>
      <c r="BG89" s="38" t="str">
        <f>IF(Table_BDD[[#This Row],[Position]]="","",IF(Table_BDD[[#This Row],[Points]]&lt;-5,"--",IF(AND(Table_BDD[[#This Row],[Points]]&gt;=-5,Table_BDD[[#This Row],[Points]]&lt;-1.5),"-",IF(AND(Table_BDD[[#This Row],[Points]]&gt;=-1.5,Table_BDD[[#This Row],[Points]]&lt;1.5),"0",IF(AND(Table_BDD[[#This Row],[Points]]&gt;=1.5,Table_BDD[[#This Row],[Points]]&lt;=70),"+",IF(Table_BDD[[#This Row],[Points]]&gt;70,"++"))))))</f>
        <v>--</v>
      </c>
      <c r="BH89" s="37" t="str">
        <f>IF(Table_BDD[[#This Row],[Position]]="","",IF(Table_BDD[[#This Row],[Points]]&gt;0,"Gagnant",IF(Table_BDD[[#This Row],[Points]]=0,"Flat","Perdant")))</f>
        <v>Perdant</v>
      </c>
      <c r="BI89" s="40">
        <f>IF(Table_BDD[[#This Row],[Position]]="","",IF(Table_BDD[[#This Row],[Résultat]]="Gagnant",1,0))</f>
        <v>0</v>
      </c>
      <c r="BJ89" s="40">
        <f>IF(Table_BDD[[#This Row],[Position]]="","",IF(Table_BDD[[#This Row],[Résultat]]="Perdant",1,0))</f>
        <v>1</v>
      </c>
      <c r="BK89" s="40"/>
      <c r="BL89" s="145" t="str">
        <f>IF(Table_BDD[[#This Row],[T / P]]="","",Table_BDD[[#This Row],[T / P]])</f>
        <v/>
      </c>
      <c r="BM89" s="147"/>
      <c r="BN89" s="147"/>
      <c r="BO89" s="147"/>
      <c r="BP89" s="147"/>
      <c r="BQ89" s="127"/>
    </row>
    <row r="90" spans="1:69" x14ac:dyDescent="0.2">
      <c r="A90" s="93">
        <v>43872.734375</v>
      </c>
      <c r="B90" s="94">
        <v>259772188</v>
      </c>
      <c r="C90" s="37" t="s">
        <v>8</v>
      </c>
      <c r="D90" s="37" t="s">
        <v>9</v>
      </c>
      <c r="E90" s="37">
        <v>0.5</v>
      </c>
      <c r="F90" s="95">
        <v>29269.77</v>
      </c>
      <c r="G90" s="95">
        <v>29271.27</v>
      </c>
      <c r="H90" s="95">
        <v>29529.77</v>
      </c>
      <c r="I90" s="93">
        <v>43872.848368055558</v>
      </c>
      <c r="J90" s="95">
        <v>29270.99</v>
      </c>
      <c r="K90" s="95">
        <v>0</v>
      </c>
      <c r="L90" s="95">
        <v>0</v>
      </c>
      <c r="M90" s="32">
        <v>0.56000000000000005</v>
      </c>
      <c r="N90" s="148">
        <f>IF(Table_BDD[[#This Row],[Position]]="","",ROW()-3)</f>
        <v>87</v>
      </c>
      <c r="O90" s="32">
        <f>SUM($L$4:M90)</f>
        <v>-54.699999999999974</v>
      </c>
      <c r="P90" s="32">
        <f>Table_BDD[[#This Row],[Equité avant trade]]+Table_BDD[[#This Row],[Profit]]+Table_BDD[[#This Row],[Echange]]</f>
        <v>945.30000000000007</v>
      </c>
      <c r="Q90" s="52">
        <f>INT(Table_BDD[[#This Row],[Horodatage cloture]])</f>
        <v>43872</v>
      </c>
      <c r="R90" s="34">
        <f>WEEKNUM(Table_BDD[[#This Row],[Horodatage cloture]],2)</f>
        <v>7</v>
      </c>
      <c r="S90" s="61">
        <f>WEEKDAY(Table_BDD[[#This Row],[Horodatage cloture]])</f>
        <v>3</v>
      </c>
      <c r="T90" s="63">
        <f>HOUR(Table_BDD[[#This Row],[Horodatage cloture]])</f>
        <v>20</v>
      </c>
      <c r="U90" s="68">
        <f>IF(Table_BDD[[#This Row],[Position]]="","",IF(Table_BDD[[#This Row],[Valeur début de journée unique]]&lt;&gt;0,1,0))</f>
        <v>0</v>
      </c>
      <c r="V90" s="68" t="str">
        <f>IF(Table_BDD[[#This Row],[Nb de séance de trading]]=1,COUNTIF(Table_BDD[Date],Table_BDD[[#This Row],[Date]]),"")</f>
        <v/>
      </c>
      <c r="W90" s="33">
        <f>IF(Table_BDD[[#This Row],[Position]]="","",IF(Table_BDD[[#This Row],[Type]]="buy",ROUND(Table_BDD[[#This Row],[Lvl Entrée]]-Table_BDD[[#This Row],[S / L]],1),ROUND(Table_BDD[[#This Row],[S / L]]-Table_BDD[[#This Row],[Lvl Entrée]],1)))</f>
        <v>-1.5</v>
      </c>
      <c r="X90" s="33">
        <f>IF(Table_BDD[[#This Row],[Position]]="","",IF(Table_BDD[[#This Row],[T / P]]=0,200,IF(Table_BDD[[#This Row],[Type]]="buy",ROUND(Table_BDD[[#This Row],[T / P]]-Table_BDD[[#This Row],[Lvl Entrée]],1),ROUND(Table_BDD[[#This Row],[Lvl Entrée]]-Table_BDD[[#This Row],[T / P]],1))))</f>
        <v>260</v>
      </c>
      <c r="Y90" s="34">
        <f>IF(Table_BDD[[#This Row],[Position]]="","",IF(Table_BDD[[#This Row],[Ecart du SL]]&gt;0,ROUND(ABS(Table_BDD[[#This Row],[Ecart du TP]])/ABS(Table_BDD[[#This Row],[Ecart du SL]]),1),ROUND(ABS(Table_BDD[[#This Row],[Ecart du TP]])/10,1)))</f>
        <v>26</v>
      </c>
      <c r="Z90" s="34">
        <f>IF(Table_BDD[[#This Row],[Position]]="","",IF(Table_BDD[[#This Row],[Ecart du SL]]&lt;0,IF(AND(Table_BDD[[#This Row],[Profit]]&gt;0,Table_BDD[[#This Row],[Type]]="sell"),ROUND((Table_BDD[[#This Row],[Lvl Entrée]]-Table_BDD[[#This Row],[Lvl Sortie]])/(10),1),IF(AND(Table_BDD[[#This Row],[Profit]]&gt;0,Table_BDD[[#This Row],[Type]]="buy"),ROUND((Table_BDD[[#This Row],[Lvl Sortie]]-Table_BDD[[#This Row],[Lvl Entrée]])/(10),1),)),IF(AND(Table_BDD[[#This Row],[Profit]]&gt;0,Table_BDD[[#This Row],[Type]]="sell"),ROUND((Table_BDD[[#This Row],[Lvl Entrée]]-Table_BDD[[#This Row],[Lvl Sortie]])/(Table_BDD[[#This Row],[S / L]]-Table_BDD[[#This Row],[Lvl Entrée]]),1),IF(AND(Table_BDD[[#This Row],[Profit]]&gt;0,Table_BDD[[#This Row],[Type]]="buy"),ROUND((Table_BDD[[#This Row],[Lvl Sortie]]-Table_BDD[[#This Row],[Lvl Entrée]])/(Table_BDD[[#This Row],[Lvl Entrée]]-Table_BDD[[#This Row],[S / L]]),1),ROUND(Table_BDD[[#This Row],[Points]]/10,1)))))</f>
        <v>0.1</v>
      </c>
      <c r="AA90" s="32">
        <f>IF(Table_BDD[[#This Row],[Position]]="",AA89,Table_BDD[[#This Row],[Equité après trade]]-Table_BDD[[#This Row],[Profit]]-Table_BDD[[#This Row],[Echange]])</f>
        <v>944.74000000000012</v>
      </c>
      <c r="AB90" s="149">
        <f>$B$1+SUM($L$4:M90)</f>
        <v>945.30000000000007</v>
      </c>
      <c r="AC90" s="150">
        <f>IF(Table_BDD[[#This Row],[Position]]="","",_xlfn.MINIFS(Table_BDD[Horodatage ouverture],Table_BDD[Date],Table_BDD[Date]))</f>
        <v>43872.646979166668</v>
      </c>
      <c r="AD90" s="149">
        <f>VLOOKUP(_xlfn.MINIFS(Table_BDD[Horodatage ouverture],Table_BDD[Date],Table_BDD[Date]),Table_BDD[[Horodatage ouverture]:[Heure derniere valeur]],AA$2)</f>
        <v>984.33</v>
      </c>
      <c r="AE90" s="149">
        <f>IF(VLOOKUP(_xlfn.MINIFS(Table_BDD[Horodatage ouverture],Table_BDD[Date],Table_BDD[Date]),Table_BDD[[Horodatage ouverture]:[Heure derniere valeur]],AA$2)=Table_BDD[[#This Row],[Equité avant trade]],VLOOKUP(_xlfn.MINIFS(Table_BDD[Horodatage ouverture],Table_BDD[Date],Table_BDD[Date]),Table_BDD[[Horodatage ouverture]:[Heure derniere valeur]],AA$2),0)</f>
        <v>0</v>
      </c>
      <c r="AF90" s="150">
        <f>IF(Table_BDD[[#This Row],[Position]]="","",_xlfn.MAXIFS(Table_BDD[Horodatage ouverture],Table_BDD[Date],Table_BDD[Date]))</f>
        <v>43872.882106481484</v>
      </c>
      <c r="AG90" s="32">
        <f>VLOOKUP(_xlfn.MAXIFS(Table_BDD[Horodatage cloture],Table_BDD[Date],Table_BDD[Date]),Table_BDD[[Horodatage ouverture]:[Heure derniere valeur]],AB$2)</f>
        <v>921.11</v>
      </c>
      <c r="AH90" s="32">
        <f>IF(VLOOKUP(_xlfn.MAXIFS(Table_BDD[Horodatage cloture],Table_BDD[Date],Table_BDD[Date]),Table_BDD[[Horodatage ouverture]:[Heure derniere valeur]],AB$2)=Table_BDD[[#This Row],[Equité après trade]],VLOOKUP(_xlfn.MAXIFS(Table_BDD[Horodatage cloture],Table_BDD[Date],Table_BDD[Date]),Table_BDD[[Horodatage ouverture]:[Heure derniere valeur]],AB$2),0)</f>
        <v>0</v>
      </c>
      <c r="AI90" s="32" t="e">
        <f>IF(Table_BDD[[#This Row],[Valeur fin de journée unique]]=0,#N/A,Table_BDD[[#This Row],[Valeur fin de journée unique]])</f>
        <v>#N/A</v>
      </c>
      <c r="AJ90" s="35">
        <f>IF(Table_BDD[[#This Row],[Position]]="","",(Table_BDD[[#This Row],[Equité après trade]]-Table_BDD[[#This Row],[Equité avant trade]])/Table_BDD[[#This Row],[Equité avant trade]])</f>
        <v>5.9275567881104366E-4</v>
      </c>
      <c r="AK90" s="35" t="str">
        <f>IFERROR(((INDEX(Table_BDD[[Trade n°]:[Valeur fin de journée unique]],Table_BDD[[#This Row],[Nb de trade du jour]]+Table_BDD[[#This Row],[Trade n°]]-1,21))-Table_BDD[[#This Row],[Valeur début de journée unique]])/Table_BDD[[#This Row],[Valeur début de journée unique]],"")</f>
        <v/>
      </c>
      <c r="AL90" s="32">
        <f>IF(Table_BDD[[#This Row],[Position]]="","",MAX(Table_BDD[[#This Row],[Cumul équité]],AL89))</f>
        <v>1052.8399999999999</v>
      </c>
      <c r="AM90" s="32">
        <f>IF(Table_BDD[[#This Row],[Position]]="","",MIN(Table_BDD[[#This Row],[Cumul équité]],AL89))</f>
        <v>945.30000000000007</v>
      </c>
      <c r="AN90" s="97">
        <f>IF(Table_BDD[[#This Row],[Sommet Drawdown]]&gt;AL89,"",Table_BDD[[#This Row],[Creux Drawdown]]/Table_BDD[[#This Row],[Sommet Drawdown]]-1)</f>
        <v>-0.1021427757304052</v>
      </c>
      <c r="AO90" s="36">
        <f>IF(Table_BDD[[#This Row],[Position]]="","",IF(Table_BDD[[#This Row],[Type]]="buy",ROUND(Table_BDD[[#This Row],[Lvl Sortie]]-Table_BDD[[#This Row],[Lvl Entrée]],1),ROUND(Table_BDD[[#This Row],[Lvl Entrée]]-Table_BDD[[#This Row],[Lvl Sortie]],1)))</f>
        <v>1.2</v>
      </c>
      <c r="AP90" s="36">
        <f>IF(Table_BDD[[#This Row],[Points]]&gt;0,Table_BDD[[#This Row],[Points]],"")</f>
        <v>1.2</v>
      </c>
      <c r="AQ90" s="36" t="str">
        <f>IF(Table_BDD[[#This Row],[Points]]&lt;0,Table_BDD[[#This Row],[Points]],"")</f>
        <v/>
      </c>
      <c r="AR90" s="36">
        <f>SUM($AO$4:AO90)</f>
        <v>-119.29999999999998</v>
      </c>
      <c r="AS90" s="68">
        <f>IF(Table_BDD[[#This Row],[Position]]="","",IF(Table_BDD[[#This Row],[Conformité]]="Conforme",1,0))</f>
        <v>0</v>
      </c>
      <c r="AT90" s="68">
        <f>IF(Table_BDD[[#This Row],[Position]]="","",IF(Table_BDD[[#This Row],[Conformité]]="Non conforme",1,0))</f>
        <v>1</v>
      </c>
      <c r="AU90" s="37" t="s">
        <v>17</v>
      </c>
      <c r="AV90" s="37"/>
      <c r="AW90" s="37"/>
      <c r="AX90" s="37">
        <v>0</v>
      </c>
      <c r="AY90" s="37">
        <v>0</v>
      </c>
      <c r="AZ90" s="37">
        <v>0</v>
      </c>
      <c r="BA90" s="40" t="str">
        <f>IF(Table_BDD[[#This Row],[Position]]="","Sans objet",IF(AND(Table_BDD[[#This Row],[Type]]="sell",Table_BDD[[#This Row],[S / L]]&lt;Table_BDD[[#This Row],[Lvl Entrée]],Table_BDD[[#This Row],[Lvl Sortie]]&lt;=Table_BDD[[#This Row],[S / L]]+2,Table_BDD[[#This Row],[Lvl Sortie]]&lt;Table_BDD[[#This Row],[Lvl Entrée]]-19),"Oui",IF(AND(Table_BDD[[#This Row],[Type]]="buy",Table_BDD[[#This Row],[S / L]]&gt;Table_BDD[[#This Row],[Lvl Entrée]],Table_BDD[[#This Row],[Lvl Sortie]]&gt;=Table_BDD[[#This Row],[S / L]]-2,Table_BDD[[#This Row],[S / L]]&gt;Table_BDD[[#This Row],[Lvl Entrée]]+19),"Oui","Non")))</f>
        <v>Non</v>
      </c>
      <c r="BB90" s="40" t="str">
        <f>IF(Table_BDD[[#This Row],[Position]]="","Sans objet",IF(AND(Table_BDD[[#This Row],[Type]]="sell",Table_BDD[[#This Row],[S / L]]&lt;Table_BDD[[#This Row],[Lvl Entrée]],Table_BDD[[#This Row],[Points]]&gt;=-1),"Oui",IF(AND(Table_BDD[[#This Row],[Type]]="sell",Table_BDD[[#This Row],[S / L]]&gt;Table_BDD[[#This Row],[Lvl Entrée]]),"Non",IF(AND(Table_BDD[[#This Row],[Type]]="buy",Table_BDD[[#This Row],[S / L]]&lt;Table_BDD[[#This Row],[Lvl Entrée]]),"Non",IF(AND(Table_BDD[[#This Row],[Type]]="buy",Table_BDD[[#This Row],[S / L]]&gt;Table_BDD[[#This Row],[Lvl Entrée]],Table_BDD[[#This Row],[Points]]&gt;=-1),"Oui")))))</f>
        <v>Oui</v>
      </c>
      <c r="BC90" s="40" t="str">
        <f>IF(Table_BDD[[#This Row],[Position]]="","Sans objet",IF(Table_BDD[[#This Row],[T / P]]="","Non",IF(AND(Table_BDD[[#This Row],[Type]]="sell",Table_BDD[[#This Row],[Lvl Sortie]]&lt;=Table_BDD[[#This Row],[T / P]]),"Oui",IF(AND(Table_BDD[[#This Row],[Type]]="buy",Table_BDD[[#This Row],[Lvl Sortie]]&gt;=Table_BDD[[#This Row],[T / P]]),"Oui","Non"))))</f>
        <v>Non</v>
      </c>
      <c r="BD90" s="91">
        <f t="array" ref="BD90">IFERROR(INDEX(downloadFile[#All],MATCH(Table_BDD[[#This Row],[Date]],downloadFile[[#All],[Column1]],0),2),BD89)</f>
        <v>1.0901000000000001</v>
      </c>
      <c r="BE90" s="89">
        <f>IF(Table_BDD[[#This Row],[Position]]="","",IF(Table_BDD[[#This Row],[Symbole]]="UsaInd",(Table_BDD[[#This Row],[Volume]]*Table_BDD[[#This Row],[Lvl Entrée]])/(Table_BDD[[#This Row],[Equité avant trade]]*Table_BDD[[#This Row],[EUR/USD]]),IF(Table_BDD[[#This Row],[Symbole]]="Ger30",(Table_BDD[[#This Row],[Volume]]*Table_BDD[[#This Row],[Lvl Entrée]])/Table_BDD[[#This Row],[Equité avant trade]],)))</f>
        <v>14.210542926103447</v>
      </c>
      <c r="BF90" s="38">
        <f>IF(Table_BDD[[#This Row],[Position]]="","",IF(Table_BDD[[#This Row],[Conformité]]="Non conforme",0,(MROUND(3*((Table_BDD[[#This Row],[Conviction]]+Table_BDD[[#This Row],[Timing]]+Table_BDD[[#This Row],[Sortie]])+1)-2,1))))</f>
        <v>0</v>
      </c>
      <c r="BG90" s="38" t="str">
        <f>IF(Table_BDD[[#This Row],[Position]]="","",IF(Table_BDD[[#This Row],[Points]]&lt;-5,"--",IF(AND(Table_BDD[[#This Row],[Points]]&gt;=-5,Table_BDD[[#This Row],[Points]]&lt;-1.5),"-",IF(AND(Table_BDD[[#This Row],[Points]]&gt;=-1.5,Table_BDD[[#This Row],[Points]]&lt;1.5),"0",IF(AND(Table_BDD[[#This Row],[Points]]&gt;=1.5,Table_BDD[[#This Row],[Points]]&lt;=70),"+",IF(Table_BDD[[#This Row],[Points]]&gt;70,"++"))))))</f>
        <v>0</v>
      </c>
      <c r="BH90" s="37" t="str">
        <f>IF(Table_BDD[[#This Row],[Position]]="","",IF(Table_BDD[[#This Row],[Points]]&gt;0,"Gagnant",IF(Table_BDD[[#This Row],[Points]]=0,"Flat","Perdant")))</f>
        <v>Gagnant</v>
      </c>
      <c r="BI90" s="40">
        <f>IF(Table_BDD[[#This Row],[Position]]="","",IF(Table_BDD[[#This Row],[Résultat]]="Gagnant",1,0))</f>
        <v>1</v>
      </c>
      <c r="BJ90" s="40">
        <f>IF(Table_BDD[[#This Row],[Position]]="","",IF(Table_BDD[[#This Row],[Résultat]]="Perdant",1,0))</f>
        <v>0</v>
      </c>
      <c r="BK90" s="40"/>
      <c r="BL90" s="145">
        <f>IF(Table_BDD[[#This Row],[T / P]]="","",Table_BDD[[#This Row],[T / P]])</f>
        <v>29529.77</v>
      </c>
      <c r="BM90" s="147"/>
      <c r="BN90" s="147"/>
      <c r="BO90" s="147"/>
      <c r="BP90" s="147"/>
      <c r="BQ90" s="127"/>
    </row>
    <row r="91" spans="1:69" x14ac:dyDescent="0.2">
      <c r="A91" s="93">
        <v>43872.848819444444</v>
      </c>
      <c r="B91" s="94">
        <v>259780592</v>
      </c>
      <c r="C91" s="37" t="s">
        <v>8</v>
      </c>
      <c r="D91" s="37" t="s">
        <v>9</v>
      </c>
      <c r="E91" s="37">
        <v>0.5</v>
      </c>
      <c r="F91" s="95">
        <v>29268.81</v>
      </c>
      <c r="G91" s="95">
        <v>29258.81</v>
      </c>
      <c r="H91" s="95"/>
      <c r="I91" s="93">
        <v>43872.850034722222</v>
      </c>
      <c r="J91" s="95">
        <v>29257.75</v>
      </c>
      <c r="K91" s="95">
        <v>0</v>
      </c>
      <c r="L91" s="95">
        <v>0</v>
      </c>
      <c r="M91" s="32">
        <v>-5.0599999999999996</v>
      </c>
      <c r="N91" s="148">
        <f>IF(Table_BDD[[#This Row],[Position]]="","",ROW()-3)</f>
        <v>88</v>
      </c>
      <c r="O91" s="32">
        <f>SUM($L$4:M91)</f>
        <v>-59.759999999999977</v>
      </c>
      <c r="P91" s="32">
        <f>Table_BDD[[#This Row],[Equité avant trade]]+Table_BDD[[#This Row],[Profit]]+Table_BDD[[#This Row],[Echange]]</f>
        <v>940.24</v>
      </c>
      <c r="Q91" s="52">
        <f>INT(Table_BDD[[#This Row],[Horodatage cloture]])</f>
        <v>43872</v>
      </c>
      <c r="R91" s="34">
        <f>WEEKNUM(Table_BDD[[#This Row],[Horodatage cloture]],2)</f>
        <v>7</v>
      </c>
      <c r="S91" s="61">
        <f>WEEKDAY(Table_BDD[[#This Row],[Horodatage cloture]])</f>
        <v>3</v>
      </c>
      <c r="T91" s="63">
        <f>HOUR(Table_BDD[[#This Row],[Horodatage cloture]])</f>
        <v>20</v>
      </c>
      <c r="U91" s="68">
        <f>IF(Table_BDD[[#This Row],[Position]]="","",IF(Table_BDD[[#This Row],[Valeur début de journée unique]]&lt;&gt;0,1,0))</f>
        <v>0</v>
      </c>
      <c r="V91" s="68" t="str">
        <f>IF(Table_BDD[[#This Row],[Nb de séance de trading]]=1,COUNTIF(Table_BDD[Date],Table_BDD[[#This Row],[Date]]),"")</f>
        <v/>
      </c>
      <c r="W91" s="33">
        <f>IF(Table_BDD[[#This Row],[Position]]="","",IF(Table_BDD[[#This Row],[Type]]="buy",ROUND(Table_BDD[[#This Row],[Lvl Entrée]]-Table_BDD[[#This Row],[S / L]],1),ROUND(Table_BDD[[#This Row],[S / L]]-Table_BDD[[#This Row],[Lvl Entrée]],1)))</f>
        <v>10</v>
      </c>
      <c r="X91" s="33">
        <f>IF(Table_BDD[[#This Row],[Position]]="","",IF(Table_BDD[[#This Row],[T / P]]=0,200,IF(Table_BDD[[#This Row],[Type]]="buy",ROUND(Table_BDD[[#This Row],[T / P]]-Table_BDD[[#This Row],[Lvl Entrée]],1),ROUND(Table_BDD[[#This Row],[Lvl Entrée]]-Table_BDD[[#This Row],[T / P]],1))))</f>
        <v>200</v>
      </c>
      <c r="Y91" s="34">
        <f>IF(Table_BDD[[#This Row],[Position]]="","",IF(Table_BDD[[#This Row],[Ecart du SL]]&gt;0,ROUND(ABS(Table_BDD[[#This Row],[Ecart du TP]])/ABS(Table_BDD[[#This Row],[Ecart du SL]]),1),ROUND(ABS(Table_BDD[[#This Row],[Ecart du TP]])/10,1)))</f>
        <v>20</v>
      </c>
      <c r="Z91" s="34">
        <f>IF(Table_BDD[[#This Row],[Position]]="","",IF(Table_BDD[[#This Row],[Ecart du SL]]&lt;0,IF(AND(Table_BDD[[#This Row],[Profit]]&gt;0,Table_BDD[[#This Row],[Type]]="sell"),ROUND((Table_BDD[[#This Row],[Lvl Entrée]]-Table_BDD[[#This Row],[Lvl Sortie]])/(10),1),IF(AND(Table_BDD[[#This Row],[Profit]]&gt;0,Table_BDD[[#This Row],[Type]]="buy"),ROUND((Table_BDD[[#This Row],[Lvl Sortie]]-Table_BDD[[#This Row],[Lvl Entrée]])/(10),1),)),IF(AND(Table_BDD[[#This Row],[Profit]]&gt;0,Table_BDD[[#This Row],[Type]]="sell"),ROUND((Table_BDD[[#This Row],[Lvl Entrée]]-Table_BDD[[#This Row],[Lvl Sortie]])/(Table_BDD[[#This Row],[S / L]]-Table_BDD[[#This Row],[Lvl Entrée]]),1),IF(AND(Table_BDD[[#This Row],[Profit]]&gt;0,Table_BDD[[#This Row],[Type]]="buy"),ROUND((Table_BDD[[#This Row],[Lvl Sortie]]-Table_BDD[[#This Row],[Lvl Entrée]])/(Table_BDD[[#This Row],[Lvl Entrée]]-Table_BDD[[#This Row],[S / L]]),1),ROUND(Table_BDD[[#This Row],[Points]]/10,1)))))</f>
        <v>-1.1000000000000001</v>
      </c>
      <c r="AA91" s="32">
        <f>IF(Table_BDD[[#This Row],[Position]]="",AA90,Table_BDD[[#This Row],[Equité après trade]]-Table_BDD[[#This Row],[Profit]]-Table_BDD[[#This Row],[Echange]])</f>
        <v>945.3</v>
      </c>
      <c r="AB91" s="149">
        <f>$B$1+SUM($L$4:M91)</f>
        <v>940.24</v>
      </c>
      <c r="AC91" s="150">
        <f>IF(Table_BDD[[#This Row],[Position]]="","",_xlfn.MINIFS(Table_BDD[Horodatage ouverture],Table_BDD[Date],Table_BDD[Date]))</f>
        <v>43872.646979166668</v>
      </c>
      <c r="AD91" s="149">
        <f>VLOOKUP(_xlfn.MINIFS(Table_BDD[Horodatage ouverture],Table_BDD[Date],Table_BDD[Date]),Table_BDD[[Horodatage ouverture]:[Heure derniere valeur]],AA$2)</f>
        <v>984.33</v>
      </c>
      <c r="AE91" s="149">
        <f>IF(VLOOKUP(_xlfn.MINIFS(Table_BDD[Horodatage ouverture],Table_BDD[Date],Table_BDD[Date]),Table_BDD[[Horodatage ouverture]:[Heure derniere valeur]],AA$2)=Table_BDD[[#This Row],[Equité avant trade]],VLOOKUP(_xlfn.MINIFS(Table_BDD[Horodatage ouverture],Table_BDD[Date],Table_BDD[Date]),Table_BDD[[Horodatage ouverture]:[Heure derniere valeur]],AA$2),0)</f>
        <v>0</v>
      </c>
      <c r="AF91" s="150">
        <f>IF(Table_BDD[[#This Row],[Position]]="","",_xlfn.MAXIFS(Table_BDD[Horodatage ouverture],Table_BDD[Date],Table_BDD[Date]))</f>
        <v>43872.882106481484</v>
      </c>
      <c r="AG91" s="32">
        <f>VLOOKUP(_xlfn.MAXIFS(Table_BDD[Horodatage cloture],Table_BDD[Date],Table_BDD[Date]),Table_BDD[[Horodatage ouverture]:[Heure derniere valeur]],AB$2)</f>
        <v>921.11</v>
      </c>
      <c r="AH91" s="32">
        <f>IF(VLOOKUP(_xlfn.MAXIFS(Table_BDD[Horodatage cloture],Table_BDD[Date],Table_BDD[Date]),Table_BDD[[Horodatage ouverture]:[Heure derniere valeur]],AB$2)=Table_BDD[[#This Row],[Equité après trade]],VLOOKUP(_xlfn.MAXIFS(Table_BDD[Horodatage cloture],Table_BDD[Date],Table_BDD[Date]),Table_BDD[[Horodatage ouverture]:[Heure derniere valeur]],AB$2),0)</f>
        <v>0</v>
      </c>
      <c r="AI91" s="32" t="e">
        <f>IF(Table_BDD[[#This Row],[Valeur fin de journée unique]]=0,#N/A,Table_BDD[[#This Row],[Valeur fin de journée unique]])</f>
        <v>#N/A</v>
      </c>
      <c r="AJ91" s="35">
        <f>IF(Table_BDD[[#This Row],[Position]]="","",(Table_BDD[[#This Row],[Equité après trade]]-Table_BDD[[#This Row],[Equité avant trade]])/Table_BDD[[#This Row],[Equité avant trade]])</f>
        <v>-5.3527980535279232E-3</v>
      </c>
      <c r="AK91" s="35" t="str">
        <f>IFERROR(((INDEX(Table_BDD[[Trade n°]:[Valeur fin de journée unique]],Table_BDD[[#This Row],[Nb de trade du jour]]+Table_BDD[[#This Row],[Trade n°]]-1,21))-Table_BDD[[#This Row],[Valeur début de journée unique]])/Table_BDD[[#This Row],[Valeur début de journée unique]],"")</f>
        <v/>
      </c>
      <c r="AL91" s="32">
        <f>IF(Table_BDD[[#This Row],[Position]]="","",MAX(Table_BDD[[#This Row],[Cumul équité]],AL90))</f>
        <v>1052.8399999999999</v>
      </c>
      <c r="AM91" s="32">
        <f>IF(Table_BDD[[#This Row],[Position]]="","",MIN(Table_BDD[[#This Row],[Cumul équité]],AL90))</f>
        <v>940.24</v>
      </c>
      <c r="AN91" s="97">
        <f>IF(Table_BDD[[#This Row],[Sommet Drawdown]]&gt;AL90,"",Table_BDD[[#This Row],[Creux Drawdown]]/Table_BDD[[#This Row],[Sommet Drawdown]]-1)</f>
        <v>-0.10694882413282158</v>
      </c>
      <c r="AO91" s="36">
        <f>IF(Table_BDD[[#This Row],[Position]]="","",IF(Table_BDD[[#This Row],[Type]]="buy",ROUND(Table_BDD[[#This Row],[Lvl Sortie]]-Table_BDD[[#This Row],[Lvl Entrée]],1),ROUND(Table_BDD[[#This Row],[Lvl Entrée]]-Table_BDD[[#This Row],[Lvl Sortie]],1)))</f>
        <v>-11.1</v>
      </c>
      <c r="AP91" s="36" t="str">
        <f>IF(Table_BDD[[#This Row],[Points]]&gt;0,Table_BDD[[#This Row],[Points]],"")</f>
        <v/>
      </c>
      <c r="AQ91" s="36">
        <f>IF(Table_BDD[[#This Row],[Points]]&lt;0,Table_BDD[[#This Row],[Points]],"")</f>
        <v>-11.1</v>
      </c>
      <c r="AR91" s="36">
        <f>SUM($AO$4:AO91)</f>
        <v>-130.39999999999998</v>
      </c>
      <c r="AS91" s="68">
        <f>IF(Table_BDD[[#This Row],[Position]]="","",IF(Table_BDD[[#This Row],[Conformité]]="Conforme",1,0))</f>
        <v>0</v>
      </c>
      <c r="AT91" s="68">
        <f>IF(Table_BDD[[#This Row],[Position]]="","",IF(Table_BDD[[#This Row],[Conformité]]="Non conforme",1,0))</f>
        <v>1</v>
      </c>
      <c r="AU91" s="37" t="s">
        <v>17</v>
      </c>
      <c r="AV91" s="37"/>
      <c r="AW91" s="37"/>
      <c r="AX91" s="37">
        <v>0</v>
      </c>
      <c r="AY91" s="37">
        <v>0</v>
      </c>
      <c r="AZ91" s="37">
        <v>0</v>
      </c>
      <c r="BA91" s="40" t="str">
        <f>IF(Table_BDD[[#This Row],[Position]]="","Sans objet",IF(AND(Table_BDD[[#This Row],[Type]]="sell",Table_BDD[[#This Row],[S / L]]&lt;Table_BDD[[#This Row],[Lvl Entrée]],Table_BDD[[#This Row],[Lvl Sortie]]&lt;=Table_BDD[[#This Row],[S / L]]+2,Table_BDD[[#This Row],[Lvl Sortie]]&lt;Table_BDD[[#This Row],[Lvl Entrée]]-19),"Oui",IF(AND(Table_BDD[[#This Row],[Type]]="buy",Table_BDD[[#This Row],[S / L]]&gt;Table_BDD[[#This Row],[Lvl Entrée]],Table_BDD[[#This Row],[Lvl Sortie]]&gt;=Table_BDD[[#This Row],[S / L]]-2,Table_BDD[[#This Row],[S / L]]&gt;Table_BDD[[#This Row],[Lvl Entrée]]+19),"Oui","Non")))</f>
        <v>Non</v>
      </c>
      <c r="BB91" s="40" t="str">
        <f>IF(Table_BDD[[#This Row],[Position]]="","Sans objet",IF(AND(Table_BDD[[#This Row],[Type]]="sell",Table_BDD[[#This Row],[S / L]]&lt;Table_BDD[[#This Row],[Lvl Entrée]],Table_BDD[[#This Row],[Points]]&gt;=-1),"Oui",IF(AND(Table_BDD[[#This Row],[Type]]="sell",Table_BDD[[#This Row],[S / L]]&gt;Table_BDD[[#This Row],[Lvl Entrée]]),"Non",IF(AND(Table_BDD[[#This Row],[Type]]="buy",Table_BDD[[#This Row],[S / L]]&lt;Table_BDD[[#This Row],[Lvl Entrée]]),"Non",IF(AND(Table_BDD[[#This Row],[Type]]="buy",Table_BDD[[#This Row],[S / L]]&gt;Table_BDD[[#This Row],[Lvl Entrée]],Table_BDD[[#This Row],[Points]]&gt;=-1),"Oui")))))</f>
        <v>Non</v>
      </c>
      <c r="BC91" s="40" t="str">
        <f>IF(Table_BDD[[#This Row],[Position]]="","Sans objet",IF(Table_BDD[[#This Row],[T / P]]="","Non",IF(AND(Table_BDD[[#This Row],[Type]]="sell",Table_BDD[[#This Row],[Lvl Sortie]]&lt;=Table_BDD[[#This Row],[T / P]]),"Oui",IF(AND(Table_BDD[[#This Row],[Type]]="buy",Table_BDD[[#This Row],[Lvl Sortie]]&gt;=Table_BDD[[#This Row],[T / P]]),"Oui","Non"))))</f>
        <v>Non</v>
      </c>
      <c r="BD91" s="91">
        <f t="array" ref="BD91">IFERROR(INDEX(downloadFile[#All],MATCH(Table_BDD[[#This Row],[Date]],downloadFile[[#All],[Column1]],0),2),BD90)</f>
        <v>1.0901000000000001</v>
      </c>
      <c r="BE91" s="89">
        <f>IF(Table_BDD[[#This Row],[Position]]="","",IF(Table_BDD[[#This Row],[Symbole]]="UsaInd",(Table_BDD[[#This Row],[Volume]]*Table_BDD[[#This Row],[Lvl Entrée]])/(Table_BDD[[#This Row],[Equité avant trade]]*Table_BDD[[#This Row],[EUR/USD]]),IF(Table_BDD[[#This Row],[Symbole]]="Ger30",(Table_BDD[[#This Row],[Volume]]*Table_BDD[[#This Row],[Lvl Entrée]])/Table_BDD[[#This Row],[Equité avant trade]],)))</f>
        <v>14.201658729960254</v>
      </c>
      <c r="BF91" s="38">
        <f>IF(Table_BDD[[#This Row],[Position]]="","",IF(Table_BDD[[#This Row],[Conformité]]="Non conforme",0,(MROUND(3*((Table_BDD[[#This Row],[Conviction]]+Table_BDD[[#This Row],[Timing]]+Table_BDD[[#This Row],[Sortie]])+1)-2,1))))</f>
        <v>0</v>
      </c>
      <c r="BG91" s="38" t="str">
        <f>IF(Table_BDD[[#This Row],[Position]]="","",IF(Table_BDD[[#This Row],[Points]]&lt;-5,"--",IF(AND(Table_BDD[[#This Row],[Points]]&gt;=-5,Table_BDD[[#This Row],[Points]]&lt;-1.5),"-",IF(AND(Table_BDD[[#This Row],[Points]]&gt;=-1.5,Table_BDD[[#This Row],[Points]]&lt;1.5),"0",IF(AND(Table_BDD[[#This Row],[Points]]&gt;=1.5,Table_BDD[[#This Row],[Points]]&lt;=70),"+",IF(Table_BDD[[#This Row],[Points]]&gt;70,"++"))))))</f>
        <v>--</v>
      </c>
      <c r="BH91" s="37" t="str">
        <f>IF(Table_BDD[[#This Row],[Position]]="","",IF(Table_BDD[[#This Row],[Points]]&gt;0,"Gagnant",IF(Table_BDD[[#This Row],[Points]]=0,"Flat","Perdant")))</f>
        <v>Perdant</v>
      </c>
      <c r="BI91" s="40">
        <f>IF(Table_BDD[[#This Row],[Position]]="","",IF(Table_BDD[[#This Row],[Résultat]]="Gagnant",1,0))</f>
        <v>0</v>
      </c>
      <c r="BJ91" s="40">
        <f>IF(Table_BDD[[#This Row],[Position]]="","",IF(Table_BDD[[#This Row],[Résultat]]="Perdant",1,0))</f>
        <v>1</v>
      </c>
      <c r="BK91" s="40"/>
      <c r="BL91" s="145" t="str">
        <f>IF(Table_BDD[[#This Row],[T / P]]="","",Table_BDD[[#This Row],[T / P]])</f>
        <v/>
      </c>
      <c r="BM91" s="147"/>
      <c r="BN91" s="147"/>
      <c r="BO91" s="147"/>
      <c r="BP91" s="147"/>
      <c r="BQ91" s="127"/>
    </row>
    <row r="92" spans="1:69" x14ac:dyDescent="0.2">
      <c r="A92" s="93">
        <v>43872.851134259261</v>
      </c>
      <c r="B92" s="94">
        <v>259780787</v>
      </c>
      <c r="C92" s="37" t="s">
        <v>8</v>
      </c>
      <c r="D92" s="37" t="s">
        <v>9</v>
      </c>
      <c r="E92" s="37">
        <v>0.5</v>
      </c>
      <c r="F92" s="95">
        <v>29270.94</v>
      </c>
      <c r="G92" s="95">
        <v>29260.94</v>
      </c>
      <c r="H92" s="95">
        <v>29530.94</v>
      </c>
      <c r="I92" s="93">
        <v>43872.876944444448</v>
      </c>
      <c r="J92" s="95">
        <v>29259.79</v>
      </c>
      <c r="K92" s="95">
        <v>0</v>
      </c>
      <c r="L92" s="95">
        <v>0</v>
      </c>
      <c r="M92" s="32">
        <v>-5.1100000000000003</v>
      </c>
      <c r="N92" s="148">
        <f>IF(Table_BDD[[#This Row],[Position]]="","",ROW()-3)</f>
        <v>89</v>
      </c>
      <c r="O92" s="32">
        <f>SUM($L$4:M92)</f>
        <v>-64.869999999999976</v>
      </c>
      <c r="P92" s="32">
        <f>Table_BDD[[#This Row],[Equité avant trade]]+Table_BDD[[#This Row],[Profit]]+Table_BDD[[#This Row],[Echange]]</f>
        <v>935.13</v>
      </c>
      <c r="Q92" s="52">
        <f>INT(Table_BDD[[#This Row],[Horodatage cloture]])</f>
        <v>43872</v>
      </c>
      <c r="R92" s="34">
        <f>WEEKNUM(Table_BDD[[#This Row],[Horodatage cloture]],2)</f>
        <v>7</v>
      </c>
      <c r="S92" s="61">
        <f>WEEKDAY(Table_BDD[[#This Row],[Horodatage cloture]])</f>
        <v>3</v>
      </c>
      <c r="T92" s="63">
        <f>HOUR(Table_BDD[[#This Row],[Horodatage cloture]])</f>
        <v>21</v>
      </c>
      <c r="U92" s="68">
        <f>IF(Table_BDD[[#This Row],[Position]]="","",IF(Table_BDD[[#This Row],[Valeur début de journée unique]]&lt;&gt;0,1,0))</f>
        <v>0</v>
      </c>
      <c r="V92" s="68" t="str">
        <f>IF(Table_BDD[[#This Row],[Nb de séance de trading]]=1,COUNTIF(Table_BDD[Date],Table_BDD[[#This Row],[Date]]),"")</f>
        <v/>
      </c>
      <c r="W92" s="33">
        <f>IF(Table_BDD[[#This Row],[Position]]="","",IF(Table_BDD[[#This Row],[Type]]="buy",ROUND(Table_BDD[[#This Row],[Lvl Entrée]]-Table_BDD[[#This Row],[S / L]],1),ROUND(Table_BDD[[#This Row],[S / L]]-Table_BDD[[#This Row],[Lvl Entrée]],1)))</f>
        <v>10</v>
      </c>
      <c r="X92" s="33">
        <f>IF(Table_BDD[[#This Row],[Position]]="","",IF(Table_BDD[[#This Row],[T / P]]=0,200,IF(Table_BDD[[#This Row],[Type]]="buy",ROUND(Table_BDD[[#This Row],[T / P]]-Table_BDD[[#This Row],[Lvl Entrée]],1),ROUND(Table_BDD[[#This Row],[Lvl Entrée]]-Table_BDD[[#This Row],[T / P]],1))))</f>
        <v>260</v>
      </c>
      <c r="Y92" s="34">
        <f>IF(Table_BDD[[#This Row],[Position]]="","",IF(Table_BDD[[#This Row],[Ecart du SL]]&gt;0,ROUND(ABS(Table_BDD[[#This Row],[Ecart du TP]])/ABS(Table_BDD[[#This Row],[Ecart du SL]]),1),ROUND(ABS(Table_BDD[[#This Row],[Ecart du TP]])/10,1)))</f>
        <v>26</v>
      </c>
      <c r="Z92" s="34">
        <f>IF(Table_BDD[[#This Row],[Position]]="","",IF(Table_BDD[[#This Row],[Ecart du SL]]&lt;0,IF(AND(Table_BDD[[#This Row],[Profit]]&gt;0,Table_BDD[[#This Row],[Type]]="sell"),ROUND((Table_BDD[[#This Row],[Lvl Entrée]]-Table_BDD[[#This Row],[Lvl Sortie]])/(10),1),IF(AND(Table_BDD[[#This Row],[Profit]]&gt;0,Table_BDD[[#This Row],[Type]]="buy"),ROUND((Table_BDD[[#This Row],[Lvl Sortie]]-Table_BDD[[#This Row],[Lvl Entrée]])/(10),1),)),IF(AND(Table_BDD[[#This Row],[Profit]]&gt;0,Table_BDD[[#This Row],[Type]]="sell"),ROUND((Table_BDD[[#This Row],[Lvl Entrée]]-Table_BDD[[#This Row],[Lvl Sortie]])/(Table_BDD[[#This Row],[S / L]]-Table_BDD[[#This Row],[Lvl Entrée]]),1),IF(AND(Table_BDD[[#This Row],[Profit]]&gt;0,Table_BDD[[#This Row],[Type]]="buy"),ROUND((Table_BDD[[#This Row],[Lvl Sortie]]-Table_BDD[[#This Row],[Lvl Entrée]])/(Table_BDD[[#This Row],[Lvl Entrée]]-Table_BDD[[#This Row],[S / L]]),1),ROUND(Table_BDD[[#This Row],[Points]]/10,1)))))</f>
        <v>-1.1000000000000001</v>
      </c>
      <c r="AA92" s="32">
        <f>IF(Table_BDD[[#This Row],[Position]]="",AA91,Table_BDD[[#This Row],[Equité après trade]]-Table_BDD[[#This Row],[Profit]]-Table_BDD[[#This Row],[Echange]])</f>
        <v>940.24</v>
      </c>
      <c r="AB92" s="149">
        <f>$B$1+SUM($L$4:M92)</f>
        <v>935.13</v>
      </c>
      <c r="AC92" s="150">
        <f>IF(Table_BDD[[#This Row],[Position]]="","",_xlfn.MINIFS(Table_BDD[Horodatage ouverture],Table_BDD[Date],Table_BDD[Date]))</f>
        <v>43872.646979166668</v>
      </c>
      <c r="AD92" s="149">
        <f>VLOOKUP(_xlfn.MINIFS(Table_BDD[Horodatage ouverture],Table_BDD[Date],Table_BDD[Date]),Table_BDD[[Horodatage ouverture]:[Heure derniere valeur]],AA$2)</f>
        <v>984.33</v>
      </c>
      <c r="AE92" s="149">
        <f>IF(VLOOKUP(_xlfn.MINIFS(Table_BDD[Horodatage ouverture],Table_BDD[Date],Table_BDD[Date]),Table_BDD[[Horodatage ouverture]:[Heure derniere valeur]],AA$2)=Table_BDD[[#This Row],[Equité avant trade]],VLOOKUP(_xlfn.MINIFS(Table_BDD[Horodatage ouverture],Table_BDD[Date],Table_BDD[Date]),Table_BDD[[Horodatage ouverture]:[Heure derniere valeur]],AA$2),0)</f>
        <v>0</v>
      </c>
      <c r="AF92" s="150">
        <f>IF(Table_BDD[[#This Row],[Position]]="","",_xlfn.MAXIFS(Table_BDD[Horodatage ouverture],Table_BDD[Date],Table_BDD[Date]))</f>
        <v>43872.882106481484</v>
      </c>
      <c r="AG92" s="32">
        <f>VLOOKUP(_xlfn.MAXIFS(Table_BDD[Horodatage cloture],Table_BDD[Date],Table_BDD[Date]),Table_BDD[[Horodatage ouverture]:[Heure derniere valeur]],AB$2)</f>
        <v>921.11</v>
      </c>
      <c r="AH92" s="32">
        <f>IF(VLOOKUP(_xlfn.MAXIFS(Table_BDD[Horodatage cloture],Table_BDD[Date],Table_BDD[Date]),Table_BDD[[Horodatage ouverture]:[Heure derniere valeur]],AB$2)=Table_BDD[[#This Row],[Equité après trade]],VLOOKUP(_xlfn.MAXIFS(Table_BDD[Horodatage cloture],Table_BDD[Date],Table_BDD[Date]),Table_BDD[[Horodatage ouverture]:[Heure derniere valeur]],AB$2),0)</f>
        <v>0</v>
      </c>
      <c r="AI92" s="32" t="e">
        <f>IF(Table_BDD[[#This Row],[Valeur fin de journée unique]]=0,#N/A,Table_BDD[[#This Row],[Valeur fin de journée unique]])</f>
        <v>#N/A</v>
      </c>
      <c r="AJ92" s="35">
        <f>IF(Table_BDD[[#This Row],[Position]]="","",(Table_BDD[[#This Row],[Equité après trade]]-Table_BDD[[#This Row],[Equité avant trade]])/Table_BDD[[#This Row],[Equité avant trade]])</f>
        <v>-5.4347826086956668E-3</v>
      </c>
      <c r="AK92" s="35" t="str">
        <f>IFERROR(((INDEX(Table_BDD[[Trade n°]:[Valeur fin de journée unique]],Table_BDD[[#This Row],[Nb de trade du jour]]+Table_BDD[[#This Row],[Trade n°]]-1,21))-Table_BDD[[#This Row],[Valeur début de journée unique]])/Table_BDD[[#This Row],[Valeur début de journée unique]],"")</f>
        <v/>
      </c>
      <c r="AL92" s="32">
        <f>IF(Table_BDD[[#This Row],[Position]]="","",MAX(Table_BDD[[#This Row],[Cumul équité]],AL91))</f>
        <v>1052.8399999999999</v>
      </c>
      <c r="AM92" s="32">
        <f>IF(Table_BDD[[#This Row],[Position]]="","",MIN(Table_BDD[[#This Row],[Cumul équité]],AL91))</f>
        <v>935.13</v>
      </c>
      <c r="AN92" s="97">
        <f>IF(Table_BDD[[#This Row],[Sommet Drawdown]]&gt;AL91,"",Table_BDD[[#This Row],[Creux Drawdown]]/Table_BDD[[#This Row],[Sommet Drawdown]]-1)</f>
        <v>-0.11180236313209979</v>
      </c>
      <c r="AO92" s="36">
        <f>IF(Table_BDD[[#This Row],[Position]]="","",IF(Table_BDD[[#This Row],[Type]]="buy",ROUND(Table_BDD[[#This Row],[Lvl Sortie]]-Table_BDD[[#This Row],[Lvl Entrée]],1),ROUND(Table_BDD[[#This Row],[Lvl Entrée]]-Table_BDD[[#This Row],[Lvl Sortie]],1)))</f>
        <v>-11.1</v>
      </c>
      <c r="AP92" s="36" t="str">
        <f>IF(Table_BDD[[#This Row],[Points]]&gt;0,Table_BDD[[#This Row],[Points]],"")</f>
        <v/>
      </c>
      <c r="AQ92" s="36">
        <f>IF(Table_BDD[[#This Row],[Points]]&lt;0,Table_BDD[[#This Row],[Points]],"")</f>
        <v>-11.1</v>
      </c>
      <c r="AR92" s="36">
        <f>SUM($AO$4:AO92)</f>
        <v>-141.49999999999997</v>
      </c>
      <c r="AS92" s="68">
        <f>IF(Table_BDD[[#This Row],[Position]]="","",IF(Table_BDD[[#This Row],[Conformité]]="Conforme",1,0))</f>
        <v>0</v>
      </c>
      <c r="AT92" s="68">
        <f>IF(Table_BDD[[#This Row],[Position]]="","",IF(Table_BDD[[#This Row],[Conformité]]="Non conforme",1,0))</f>
        <v>1</v>
      </c>
      <c r="AU92" s="37" t="s">
        <v>17</v>
      </c>
      <c r="AV92" s="37"/>
      <c r="AW92" s="37"/>
      <c r="AX92" s="37">
        <v>0</v>
      </c>
      <c r="AY92" s="37">
        <v>0</v>
      </c>
      <c r="AZ92" s="37">
        <v>0</v>
      </c>
      <c r="BA92" s="40" t="str">
        <f>IF(Table_BDD[[#This Row],[Position]]="","Sans objet",IF(AND(Table_BDD[[#This Row],[Type]]="sell",Table_BDD[[#This Row],[S / L]]&lt;Table_BDD[[#This Row],[Lvl Entrée]],Table_BDD[[#This Row],[Lvl Sortie]]&lt;=Table_BDD[[#This Row],[S / L]]+2,Table_BDD[[#This Row],[Lvl Sortie]]&lt;Table_BDD[[#This Row],[Lvl Entrée]]-19),"Oui",IF(AND(Table_BDD[[#This Row],[Type]]="buy",Table_BDD[[#This Row],[S / L]]&gt;Table_BDD[[#This Row],[Lvl Entrée]],Table_BDD[[#This Row],[Lvl Sortie]]&gt;=Table_BDD[[#This Row],[S / L]]-2,Table_BDD[[#This Row],[S / L]]&gt;Table_BDD[[#This Row],[Lvl Entrée]]+19),"Oui","Non")))</f>
        <v>Non</v>
      </c>
      <c r="BB92" s="40" t="str">
        <f>IF(Table_BDD[[#This Row],[Position]]="","Sans objet",IF(AND(Table_BDD[[#This Row],[Type]]="sell",Table_BDD[[#This Row],[S / L]]&lt;Table_BDD[[#This Row],[Lvl Entrée]],Table_BDD[[#This Row],[Points]]&gt;=-1),"Oui",IF(AND(Table_BDD[[#This Row],[Type]]="sell",Table_BDD[[#This Row],[S / L]]&gt;Table_BDD[[#This Row],[Lvl Entrée]]),"Non",IF(AND(Table_BDD[[#This Row],[Type]]="buy",Table_BDD[[#This Row],[S / L]]&lt;Table_BDD[[#This Row],[Lvl Entrée]]),"Non",IF(AND(Table_BDD[[#This Row],[Type]]="buy",Table_BDD[[#This Row],[S / L]]&gt;Table_BDD[[#This Row],[Lvl Entrée]],Table_BDD[[#This Row],[Points]]&gt;=-1),"Oui")))))</f>
        <v>Non</v>
      </c>
      <c r="BC92" s="40" t="str">
        <f>IF(Table_BDD[[#This Row],[Position]]="","Sans objet",IF(Table_BDD[[#This Row],[T / P]]="","Non",IF(AND(Table_BDD[[#This Row],[Type]]="sell",Table_BDD[[#This Row],[Lvl Sortie]]&lt;=Table_BDD[[#This Row],[T / P]]),"Oui",IF(AND(Table_BDD[[#This Row],[Type]]="buy",Table_BDD[[#This Row],[Lvl Sortie]]&gt;=Table_BDD[[#This Row],[T / P]]),"Oui","Non"))))</f>
        <v>Non</v>
      </c>
      <c r="BD92" s="91">
        <f t="array" ref="BD92">IFERROR(INDEX(downloadFile[#All],MATCH(Table_BDD[[#This Row],[Date]],downloadFile[[#All],[Column1]],0),2),BD91)</f>
        <v>1.0901000000000001</v>
      </c>
      <c r="BE92" s="89">
        <f>IF(Table_BDD[[#This Row],[Position]]="","",IF(Table_BDD[[#This Row],[Symbole]]="UsaInd",(Table_BDD[[#This Row],[Volume]]*Table_BDD[[#This Row],[Lvl Entrée]])/(Table_BDD[[#This Row],[Equité avant trade]]*Table_BDD[[#This Row],[EUR/USD]]),IF(Table_BDD[[#This Row],[Symbole]]="Ger30",(Table_BDD[[#This Row],[Volume]]*Table_BDD[[#This Row],[Lvl Entrée]])/Table_BDD[[#This Row],[Equité avant trade]],)))</f>
        <v>14.279125512657314</v>
      </c>
      <c r="BF92" s="38">
        <f>IF(Table_BDD[[#This Row],[Position]]="","",IF(Table_BDD[[#This Row],[Conformité]]="Non conforme",0,(MROUND(3*((Table_BDD[[#This Row],[Conviction]]+Table_BDD[[#This Row],[Timing]]+Table_BDD[[#This Row],[Sortie]])+1)-2,1))))</f>
        <v>0</v>
      </c>
      <c r="BG92" s="38" t="str">
        <f>IF(Table_BDD[[#This Row],[Position]]="","",IF(Table_BDD[[#This Row],[Points]]&lt;-5,"--",IF(AND(Table_BDD[[#This Row],[Points]]&gt;=-5,Table_BDD[[#This Row],[Points]]&lt;-1.5),"-",IF(AND(Table_BDD[[#This Row],[Points]]&gt;=-1.5,Table_BDD[[#This Row],[Points]]&lt;1.5),"0",IF(AND(Table_BDD[[#This Row],[Points]]&gt;=1.5,Table_BDD[[#This Row],[Points]]&lt;=70),"+",IF(Table_BDD[[#This Row],[Points]]&gt;70,"++"))))))</f>
        <v>--</v>
      </c>
      <c r="BH92" s="37" t="str">
        <f>IF(Table_BDD[[#This Row],[Position]]="","",IF(Table_BDD[[#This Row],[Points]]&gt;0,"Gagnant",IF(Table_BDD[[#This Row],[Points]]=0,"Flat","Perdant")))</f>
        <v>Perdant</v>
      </c>
      <c r="BI92" s="40">
        <f>IF(Table_BDD[[#This Row],[Position]]="","",IF(Table_BDD[[#This Row],[Résultat]]="Gagnant",1,0))</f>
        <v>0</v>
      </c>
      <c r="BJ92" s="40">
        <f>IF(Table_BDD[[#This Row],[Position]]="","",IF(Table_BDD[[#This Row],[Résultat]]="Perdant",1,0))</f>
        <v>1</v>
      </c>
      <c r="BK92" s="40"/>
      <c r="BL92" s="145">
        <f>IF(Table_BDD[[#This Row],[T / P]]="","",Table_BDD[[#This Row],[T / P]])</f>
        <v>29530.94</v>
      </c>
      <c r="BM92" s="147"/>
      <c r="BN92" s="147"/>
      <c r="BO92" s="147"/>
      <c r="BP92" s="147"/>
      <c r="BQ92" s="127"/>
    </row>
    <row r="93" spans="1:69" x14ac:dyDescent="0.2">
      <c r="A93" s="93">
        <v>43872.878333333334</v>
      </c>
      <c r="B93" s="94">
        <v>259782778</v>
      </c>
      <c r="C93" s="37" t="s">
        <v>8</v>
      </c>
      <c r="D93" s="37" t="s">
        <v>9</v>
      </c>
      <c r="E93" s="37">
        <v>0.5</v>
      </c>
      <c r="F93" s="95">
        <v>29263.69</v>
      </c>
      <c r="G93" s="95">
        <v>29253.69</v>
      </c>
      <c r="H93" s="95"/>
      <c r="I93" s="93">
        <v>43872.881249999999</v>
      </c>
      <c r="J93" s="95">
        <v>29253.69</v>
      </c>
      <c r="K93" s="95">
        <v>0</v>
      </c>
      <c r="L93" s="95">
        <v>0</v>
      </c>
      <c r="M93" s="32">
        <v>-4.58</v>
      </c>
      <c r="N93" s="148">
        <f>IF(Table_BDD[[#This Row],[Position]]="","",ROW()-3)</f>
        <v>90</v>
      </c>
      <c r="O93" s="32">
        <f>SUM($L$4:M93)</f>
        <v>-69.449999999999974</v>
      </c>
      <c r="P93" s="32">
        <f>Table_BDD[[#This Row],[Equité avant trade]]+Table_BDD[[#This Row],[Profit]]+Table_BDD[[#This Row],[Echange]]</f>
        <v>930.55000000000007</v>
      </c>
      <c r="Q93" s="52">
        <f>INT(Table_BDD[[#This Row],[Horodatage cloture]])</f>
        <v>43872</v>
      </c>
      <c r="R93" s="34">
        <f>WEEKNUM(Table_BDD[[#This Row],[Horodatage cloture]],2)</f>
        <v>7</v>
      </c>
      <c r="S93" s="61">
        <f>WEEKDAY(Table_BDD[[#This Row],[Horodatage cloture]])</f>
        <v>3</v>
      </c>
      <c r="T93" s="63">
        <f>HOUR(Table_BDD[[#This Row],[Horodatage cloture]])</f>
        <v>21</v>
      </c>
      <c r="U93" s="68">
        <f>IF(Table_BDD[[#This Row],[Position]]="","",IF(Table_BDD[[#This Row],[Valeur début de journée unique]]&lt;&gt;0,1,0))</f>
        <v>0</v>
      </c>
      <c r="V93" s="68" t="str">
        <f>IF(Table_BDD[[#This Row],[Nb de séance de trading]]=1,COUNTIF(Table_BDD[Date],Table_BDD[[#This Row],[Date]]),"")</f>
        <v/>
      </c>
      <c r="W93" s="33">
        <f>IF(Table_BDD[[#This Row],[Position]]="","",IF(Table_BDD[[#This Row],[Type]]="buy",ROUND(Table_BDD[[#This Row],[Lvl Entrée]]-Table_BDD[[#This Row],[S / L]],1),ROUND(Table_BDD[[#This Row],[S / L]]-Table_BDD[[#This Row],[Lvl Entrée]],1)))</f>
        <v>10</v>
      </c>
      <c r="X93" s="33">
        <f>IF(Table_BDD[[#This Row],[Position]]="","",IF(Table_BDD[[#This Row],[T / P]]=0,200,IF(Table_BDD[[#This Row],[Type]]="buy",ROUND(Table_BDD[[#This Row],[T / P]]-Table_BDD[[#This Row],[Lvl Entrée]],1),ROUND(Table_BDD[[#This Row],[Lvl Entrée]]-Table_BDD[[#This Row],[T / P]],1))))</f>
        <v>200</v>
      </c>
      <c r="Y93" s="34">
        <f>IF(Table_BDD[[#This Row],[Position]]="","",IF(Table_BDD[[#This Row],[Ecart du SL]]&gt;0,ROUND(ABS(Table_BDD[[#This Row],[Ecart du TP]])/ABS(Table_BDD[[#This Row],[Ecart du SL]]),1),ROUND(ABS(Table_BDD[[#This Row],[Ecart du TP]])/10,1)))</f>
        <v>20</v>
      </c>
      <c r="Z93" s="34">
        <f>IF(Table_BDD[[#This Row],[Position]]="","",IF(Table_BDD[[#This Row],[Ecart du SL]]&lt;0,IF(AND(Table_BDD[[#This Row],[Profit]]&gt;0,Table_BDD[[#This Row],[Type]]="sell"),ROUND((Table_BDD[[#This Row],[Lvl Entrée]]-Table_BDD[[#This Row],[Lvl Sortie]])/(10),1),IF(AND(Table_BDD[[#This Row],[Profit]]&gt;0,Table_BDD[[#This Row],[Type]]="buy"),ROUND((Table_BDD[[#This Row],[Lvl Sortie]]-Table_BDD[[#This Row],[Lvl Entrée]])/(10),1),)),IF(AND(Table_BDD[[#This Row],[Profit]]&gt;0,Table_BDD[[#This Row],[Type]]="sell"),ROUND((Table_BDD[[#This Row],[Lvl Entrée]]-Table_BDD[[#This Row],[Lvl Sortie]])/(Table_BDD[[#This Row],[S / L]]-Table_BDD[[#This Row],[Lvl Entrée]]),1),IF(AND(Table_BDD[[#This Row],[Profit]]&gt;0,Table_BDD[[#This Row],[Type]]="buy"),ROUND((Table_BDD[[#This Row],[Lvl Sortie]]-Table_BDD[[#This Row],[Lvl Entrée]])/(Table_BDD[[#This Row],[Lvl Entrée]]-Table_BDD[[#This Row],[S / L]]),1),ROUND(Table_BDD[[#This Row],[Points]]/10,1)))))</f>
        <v>-1</v>
      </c>
      <c r="AA93" s="32">
        <f>IF(Table_BDD[[#This Row],[Position]]="",AA92,Table_BDD[[#This Row],[Equité après trade]]-Table_BDD[[#This Row],[Profit]]-Table_BDD[[#This Row],[Echange]])</f>
        <v>935.13000000000011</v>
      </c>
      <c r="AB93" s="149">
        <f>$B$1+SUM($L$4:M93)</f>
        <v>930.55000000000007</v>
      </c>
      <c r="AC93" s="150">
        <f>IF(Table_BDD[[#This Row],[Position]]="","",_xlfn.MINIFS(Table_BDD[Horodatage ouverture],Table_BDD[Date],Table_BDD[Date]))</f>
        <v>43872.646979166668</v>
      </c>
      <c r="AD93" s="149">
        <f>VLOOKUP(_xlfn.MINIFS(Table_BDD[Horodatage ouverture],Table_BDD[Date],Table_BDD[Date]),Table_BDD[[Horodatage ouverture]:[Heure derniere valeur]],AA$2)</f>
        <v>984.33</v>
      </c>
      <c r="AE93" s="149">
        <f>IF(VLOOKUP(_xlfn.MINIFS(Table_BDD[Horodatage ouverture],Table_BDD[Date],Table_BDD[Date]),Table_BDD[[Horodatage ouverture]:[Heure derniere valeur]],AA$2)=Table_BDD[[#This Row],[Equité avant trade]],VLOOKUP(_xlfn.MINIFS(Table_BDD[Horodatage ouverture],Table_BDD[Date],Table_BDD[Date]),Table_BDD[[Horodatage ouverture]:[Heure derniere valeur]],AA$2),0)</f>
        <v>0</v>
      </c>
      <c r="AF93" s="150">
        <f>IF(Table_BDD[[#This Row],[Position]]="","",_xlfn.MAXIFS(Table_BDD[Horodatage ouverture],Table_BDD[Date],Table_BDD[Date]))</f>
        <v>43872.882106481484</v>
      </c>
      <c r="AG93" s="32">
        <f>VLOOKUP(_xlfn.MAXIFS(Table_BDD[Horodatage cloture],Table_BDD[Date],Table_BDD[Date]),Table_BDD[[Horodatage ouverture]:[Heure derniere valeur]],AB$2)</f>
        <v>921.11</v>
      </c>
      <c r="AH93" s="32">
        <f>IF(VLOOKUP(_xlfn.MAXIFS(Table_BDD[Horodatage cloture],Table_BDD[Date],Table_BDD[Date]),Table_BDD[[Horodatage ouverture]:[Heure derniere valeur]],AB$2)=Table_BDD[[#This Row],[Equité après trade]],VLOOKUP(_xlfn.MAXIFS(Table_BDD[Horodatage cloture],Table_BDD[Date],Table_BDD[Date]),Table_BDD[[Horodatage ouverture]:[Heure derniere valeur]],AB$2),0)</f>
        <v>0</v>
      </c>
      <c r="AI93" s="32" t="e">
        <f>IF(Table_BDD[[#This Row],[Valeur fin de journée unique]]=0,#N/A,Table_BDD[[#This Row],[Valeur fin de journée unique]])</f>
        <v>#N/A</v>
      </c>
      <c r="AJ93" s="35">
        <f>IF(Table_BDD[[#This Row],[Position]]="","",(Table_BDD[[#This Row],[Equité après trade]]-Table_BDD[[#This Row],[Equité avant trade]])/Table_BDD[[#This Row],[Equité avant trade]])</f>
        <v>-4.8977147562371441E-3</v>
      </c>
      <c r="AK93" s="35" t="str">
        <f>IFERROR(((INDEX(Table_BDD[[Trade n°]:[Valeur fin de journée unique]],Table_BDD[[#This Row],[Nb de trade du jour]]+Table_BDD[[#This Row],[Trade n°]]-1,21))-Table_BDD[[#This Row],[Valeur début de journée unique]])/Table_BDD[[#This Row],[Valeur début de journée unique]],"")</f>
        <v/>
      </c>
      <c r="AL93" s="32">
        <f>IF(Table_BDD[[#This Row],[Position]]="","",MAX(Table_BDD[[#This Row],[Cumul équité]],AL92))</f>
        <v>1052.8399999999999</v>
      </c>
      <c r="AM93" s="32">
        <f>IF(Table_BDD[[#This Row],[Position]]="","",MIN(Table_BDD[[#This Row],[Cumul équité]],AL92))</f>
        <v>930.55000000000007</v>
      </c>
      <c r="AN93" s="97">
        <f>IF(Table_BDD[[#This Row],[Sommet Drawdown]]&gt;AL92,"",Table_BDD[[#This Row],[Creux Drawdown]]/Table_BDD[[#This Row],[Sommet Drawdown]]-1)</f>
        <v>-0.11615250180464254</v>
      </c>
      <c r="AO93" s="36">
        <f>IF(Table_BDD[[#This Row],[Position]]="","",IF(Table_BDD[[#This Row],[Type]]="buy",ROUND(Table_BDD[[#This Row],[Lvl Sortie]]-Table_BDD[[#This Row],[Lvl Entrée]],1),ROUND(Table_BDD[[#This Row],[Lvl Entrée]]-Table_BDD[[#This Row],[Lvl Sortie]],1)))</f>
        <v>-10</v>
      </c>
      <c r="AP93" s="36" t="str">
        <f>IF(Table_BDD[[#This Row],[Points]]&gt;0,Table_BDD[[#This Row],[Points]],"")</f>
        <v/>
      </c>
      <c r="AQ93" s="36">
        <f>IF(Table_BDD[[#This Row],[Points]]&lt;0,Table_BDD[[#This Row],[Points]],"")</f>
        <v>-10</v>
      </c>
      <c r="AR93" s="36">
        <f>SUM($AO$4:AO93)</f>
        <v>-151.49999999999997</v>
      </c>
      <c r="AS93" s="68">
        <f>IF(Table_BDD[[#This Row],[Position]]="","",IF(Table_BDD[[#This Row],[Conformité]]="Conforme",1,0))</f>
        <v>0</v>
      </c>
      <c r="AT93" s="68">
        <f>IF(Table_BDD[[#This Row],[Position]]="","",IF(Table_BDD[[#This Row],[Conformité]]="Non conforme",1,0))</f>
        <v>1</v>
      </c>
      <c r="AU93" s="37" t="s">
        <v>17</v>
      </c>
      <c r="AV93" s="37"/>
      <c r="AW93" s="37"/>
      <c r="AX93" s="37">
        <v>0</v>
      </c>
      <c r="AY93" s="37">
        <v>0</v>
      </c>
      <c r="AZ93" s="37">
        <v>0</v>
      </c>
      <c r="BA93" s="40" t="str">
        <f>IF(Table_BDD[[#This Row],[Position]]="","Sans objet",IF(AND(Table_BDD[[#This Row],[Type]]="sell",Table_BDD[[#This Row],[S / L]]&lt;Table_BDD[[#This Row],[Lvl Entrée]],Table_BDD[[#This Row],[Lvl Sortie]]&lt;=Table_BDD[[#This Row],[S / L]]+2,Table_BDD[[#This Row],[Lvl Sortie]]&lt;Table_BDD[[#This Row],[Lvl Entrée]]-19),"Oui",IF(AND(Table_BDD[[#This Row],[Type]]="buy",Table_BDD[[#This Row],[S / L]]&gt;Table_BDD[[#This Row],[Lvl Entrée]],Table_BDD[[#This Row],[Lvl Sortie]]&gt;=Table_BDD[[#This Row],[S / L]]-2,Table_BDD[[#This Row],[S / L]]&gt;Table_BDD[[#This Row],[Lvl Entrée]]+19),"Oui","Non")))</f>
        <v>Non</v>
      </c>
      <c r="BB93" s="40" t="str">
        <f>IF(Table_BDD[[#This Row],[Position]]="","Sans objet",IF(AND(Table_BDD[[#This Row],[Type]]="sell",Table_BDD[[#This Row],[S / L]]&lt;Table_BDD[[#This Row],[Lvl Entrée]],Table_BDD[[#This Row],[Points]]&gt;=-1),"Oui",IF(AND(Table_BDD[[#This Row],[Type]]="sell",Table_BDD[[#This Row],[S / L]]&gt;Table_BDD[[#This Row],[Lvl Entrée]]),"Non",IF(AND(Table_BDD[[#This Row],[Type]]="buy",Table_BDD[[#This Row],[S / L]]&lt;Table_BDD[[#This Row],[Lvl Entrée]]),"Non",IF(AND(Table_BDD[[#This Row],[Type]]="buy",Table_BDD[[#This Row],[S / L]]&gt;Table_BDD[[#This Row],[Lvl Entrée]],Table_BDD[[#This Row],[Points]]&gt;=-1),"Oui")))))</f>
        <v>Non</v>
      </c>
      <c r="BC93" s="40" t="str">
        <f>IF(Table_BDD[[#This Row],[Position]]="","Sans objet",IF(Table_BDD[[#This Row],[T / P]]="","Non",IF(AND(Table_BDD[[#This Row],[Type]]="sell",Table_BDD[[#This Row],[Lvl Sortie]]&lt;=Table_BDD[[#This Row],[T / P]]),"Oui",IF(AND(Table_BDD[[#This Row],[Type]]="buy",Table_BDD[[#This Row],[Lvl Sortie]]&gt;=Table_BDD[[#This Row],[T / P]]),"Oui","Non"))))</f>
        <v>Non</v>
      </c>
      <c r="BD93" s="91">
        <f t="array" ref="BD93">IFERROR(INDEX(downloadFile[#All],MATCH(Table_BDD[[#This Row],[Date]],downloadFile[[#All],[Column1]],0),2),BD92)</f>
        <v>1.0901000000000001</v>
      </c>
      <c r="BE93" s="89">
        <f>IF(Table_BDD[[#This Row],[Position]]="","",IF(Table_BDD[[#This Row],[Symbole]]="UsaInd",(Table_BDD[[#This Row],[Volume]]*Table_BDD[[#This Row],[Lvl Entrée]])/(Table_BDD[[#This Row],[Equité avant trade]]*Table_BDD[[#This Row],[EUR/USD]]),IF(Table_BDD[[#This Row],[Symbole]]="Ger30",(Table_BDD[[#This Row],[Volume]]*Table_BDD[[#This Row],[Lvl Entrée]])/Table_BDD[[#This Row],[Equité avant trade]],)))</f>
        <v>14.353597455999195</v>
      </c>
      <c r="BF93" s="38">
        <f>IF(Table_BDD[[#This Row],[Position]]="","",IF(Table_BDD[[#This Row],[Conformité]]="Non conforme",0,(MROUND(3*((Table_BDD[[#This Row],[Conviction]]+Table_BDD[[#This Row],[Timing]]+Table_BDD[[#This Row],[Sortie]])+1)-2,1))))</f>
        <v>0</v>
      </c>
      <c r="BG93" s="38" t="str">
        <f>IF(Table_BDD[[#This Row],[Position]]="","",IF(Table_BDD[[#This Row],[Points]]&lt;-5,"--",IF(AND(Table_BDD[[#This Row],[Points]]&gt;=-5,Table_BDD[[#This Row],[Points]]&lt;-1.5),"-",IF(AND(Table_BDD[[#This Row],[Points]]&gt;=-1.5,Table_BDD[[#This Row],[Points]]&lt;1.5),"0",IF(AND(Table_BDD[[#This Row],[Points]]&gt;=1.5,Table_BDD[[#This Row],[Points]]&lt;=70),"+",IF(Table_BDD[[#This Row],[Points]]&gt;70,"++"))))))</f>
        <v>--</v>
      </c>
      <c r="BH93" s="37" t="str">
        <f>IF(Table_BDD[[#This Row],[Position]]="","",IF(Table_BDD[[#This Row],[Points]]&gt;0,"Gagnant",IF(Table_BDD[[#This Row],[Points]]=0,"Flat","Perdant")))</f>
        <v>Perdant</v>
      </c>
      <c r="BI93" s="40">
        <f>IF(Table_BDD[[#This Row],[Position]]="","",IF(Table_BDD[[#This Row],[Résultat]]="Gagnant",1,0))</f>
        <v>0</v>
      </c>
      <c r="BJ93" s="40">
        <f>IF(Table_BDD[[#This Row],[Position]]="","",IF(Table_BDD[[#This Row],[Résultat]]="Perdant",1,0))</f>
        <v>1</v>
      </c>
      <c r="BK93" s="40"/>
      <c r="BL93" s="145" t="str">
        <f>IF(Table_BDD[[#This Row],[T / P]]="","",Table_BDD[[#This Row],[T / P]])</f>
        <v/>
      </c>
      <c r="BM93" s="147"/>
      <c r="BN93" s="147"/>
      <c r="BO93" s="147"/>
      <c r="BP93" s="147"/>
      <c r="BQ93" s="127"/>
    </row>
    <row r="94" spans="1:69" x14ac:dyDescent="0.2">
      <c r="A94" s="93">
        <v>43872.881354166668</v>
      </c>
      <c r="B94" s="94">
        <v>259782944</v>
      </c>
      <c r="C94" s="37" t="s">
        <v>8</v>
      </c>
      <c r="D94" s="37" t="s">
        <v>9</v>
      </c>
      <c r="E94" s="37">
        <v>0.5</v>
      </c>
      <c r="F94" s="95">
        <v>29255.06</v>
      </c>
      <c r="G94" s="95">
        <v>29245.06</v>
      </c>
      <c r="H94" s="95"/>
      <c r="I94" s="93">
        <v>43872.881851851853</v>
      </c>
      <c r="J94" s="95">
        <v>29244.71</v>
      </c>
      <c r="K94" s="95">
        <v>0</v>
      </c>
      <c r="L94" s="95">
        <v>0</v>
      </c>
      <c r="M94" s="32">
        <v>-4.74</v>
      </c>
      <c r="N94" s="148">
        <f>IF(Table_BDD[[#This Row],[Position]]="","",ROW()-3)</f>
        <v>91</v>
      </c>
      <c r="O94" s="32">
        <f>SUM($L$4:M94)</f>
        <v>-74.189999999999969</v>
      </c>
      <c r="P94" s="32">
        <f>Table_BDD[[#This Row],[Equité avant trade]]+Table_BDD[[#This Row],[Profit]]+Table_BDD[[#This Row],[Echange]]</f>
        <v>925.81000000000006</v>
      </c>
      <c r="Q94" s="52">
        <f>INT(Table_BDD[[#This Row],[Horodatage cloture]])</f>
        <v>43872</v>
      </c>
      <c r="R94" s="34">
        <f>WEEKNUM(Table_BDD[[#This Row],[Horodatage cloture]],2)</f>
        <v>7</v>
      </c>
      <c r="S94" s="61">
        <f>WEEKDAY(Table_BDD[[#This Row],[Horodatage cloture]])</f>
        <v>3</v>
      </c>
      <c r="T94" s="63">
        <f>HOUR(Table_BDD[[#This Row],[Horodatage cloture]])</f>
        <v>21</v>
      </c>
      <c r="U94" s="68">
        <f>IF(Table_BDD[[#This Row],[Position]]="","",IF(Table_BDD[[#This Row],[Valeur début de journée unique]]&lt;&gt;0,1,0))</f>
        <v>0</v>
      </c>
      <c r="V94" s="68" t="str">
        <f>IF(Table_BDD[[#This Row],[Nb de séance de trading]]=1,COUNTIF(Table_BDD[Date],Table_BDD[[#This Row],[Date]]),"")</f>
        <v/>
      </c>
      <c r="W94" s="33">
        <f>IF(Table_BDD[[#This Row],[Position]]="","",IF(Table_BDD[[#This Row],[Type]]="buy",ROUND(Table_BDD[[#This Row],[Lvl Entrée]]-Table_BDD[[#This Row],[S / L]],1),ROUND(Table_BDD[[#This Row],[S / L]]-Table_BDD[[#This Row],[Lvl Entrée]],1)))</f>
        <v>10</v>
      </c>
      <c r="X94" s="33">
        <f>IF(Table_BDD[[#This Row],[Position]]="","",IF(Table_BDD[[#This Row],[T / P]]=0,200,IF(Table_BDD[[#This Row],[Type]]="buy",ROUND(Table_BDD[[#This Row],[T / P]]-Table_BDD[[#This Row],[Lvl Entrée]],1),ROUND(Table_BDD[[#This Row],[Lvl Entrée]]-Table_BDD[[#This Row],[T / P]],1))))</f>
        <v>200</v>
      </c>
      <c r="Y94" s="34">
        <f>IF(Table_BDD[[#This Row],[Position]]="","",IF(Table_BDD[[#This Row],[Ecart du SL]]&gt;0,ROUND(ABS(Table_BDD[[#This Row],[Ecart du TP]])/ABS(Table_BDD[[#This Row],[Ecart du SL]]),1),ROUND(ABS(Table_BDD[[#This Row],[Ecart du TP]])/10,1)))</f>
        <v>20</v>
      </c>
      <c r="Z94" s="34">
        <f>IF(Table_BDD[[#This Row],[Position]]="","",IF(Table_BDD[[#This Row],[Ecart du SL]]&lt;0,IF(AND(Table_BDD[[#This Row],[Profit]]&gt;0,Table_BDD[[#This Row],[Type]]="sell"),ROUND((Table_BDD[[#This Row],[Lvl Entrée]]-Table_BDD[[#This Row],[Lvl Sortie]])/(10),1),IF(AND(Table_BDD[[#This Row],[Profit]]&gt;0,Table_BDD[[#This Row],[Type]]="buy"),ROUND((Table_BDD[[#This Row],[Lvl Sortie]]-Table_BDD[[#This Row],[Lvl Entrée]])/(10),1),)),IF(AND(Table_BDD[[#This Row],[Profit]]&gt;0,Table_BDD[[#This Row],[Type]]="sell"),ROUND((Table_BDD[[#This Row],[Lvl Entrée]]-Table_BDD[[#This Row],[Lvl Sortie]])/(Table_BDD[[#This Row],[S / L]]-Table_BDD[[#This Row],[Lvl Entrée]]),1),IF(AND(Table_BDD[[#This Row],[Profit]]&gt;0,Table_BDD[[#This Row],[Type]]="buy"),ROUND((Table_BDD[[#This Row],[Lvl Sortie]]-Table_BDD[[#This Row],[Lvl Entrée]])/(Table_BDD[[#This Row],[Lvl Entrée]]-Table_BDD[[#This Row],[S / L]]),1),ROUND(Table_BDD[[#This Row],[Points]]/10,1)))))</f>
        <v>-1</v>
      </c>
      <c r="AA94" s="32">
        <f>IF(Table_BDD[[#This Row],[Position]]="",AA93,Table_BDD[[#This Row],[Equité après trade]]-Table_BDD[[#This Row],[Profit]]-Table_BDD[[#This Row],[Echange]])</f>
        <v>930.55000000000007</v>
      </c>
      <c r="AB94" s="149">
        <f>$B$1+SUM($L$4:M94)</f>
        <v>925.81000000000006</v>
      </c>
      <c r="AC94" s="150">
        <f>IF(Table_BDD[[#This Row],[Position]]="","",_xlfn.MINIFS(Table_BDD[Horodatage ouverture],Table_BDD[Date],Table_BDD[Date]))</f>
        <v>43872.646979166668</v>
      </c>
      <c r="AD94" s="149">
        <f>VLOOKUP(_xlfn.MINIFS(Table_BDD[Horodatage ouverture],Table_BDD[Date],Table_BDD[Date]),Table_BDD[[Horodatage ouverture]:[Heure derniere valeur]],AA$2)</f>
        <v>984.33</v>
      </c>
      <c r="AE94" s="149">
        <f>IF(VLOOKUP(_xlfn.MINIFS(Table_BDD[Horodatage ouverture],Table_BDD[Date],Table_BDD[Date]),Table_BDD[[Horodatage ouverture]:[Heure derniere valeur]],AA$2)=Table_BDD[[#This Row],[Equité avant trade]],VLOOKUP(_xlfn.MINIFS(Table_BDD[Horodatage ouverture],Table_BDD[Date],Table_BDD[Date]),Table_BDD[[Horodatage ouverture]:[Heure derniere valeur]],AA$2),0)</f>
        <v>0</v>
      </c>
      <c r="AF94" s="150">
        <f>IF(Table_BDD[[#This Row],[Position]]="","",_xlfn.MAXIFS(Table_BDD[Horodatage ouverture],Table_BDD[Date],Table_BDD[Date]))</f>
        <v>43872.882106481484</v>
      </c>
      <c r="AG94" s="32">
        <f>VLOOKUP(_xlfn.MAXIFS(Table_BDD[Horodatage cloture],Table_BDD[Date],Table_BDD[Date]),Table_BDD[[Horodatage ouverture]:[Heure derniere valeur]],AB$2)</f>
        <v>921.11</v>
      </c>
      <c r="AH94" s="32">
        <f>IF(VLOOKUP(_xlfn.MAXIFS(Table_BDD[Horodatage cloture],Table_BDD[Date],Table_BDD[Date]),Table_BDD[[Horodatage ouverture]:[Heure derniere valeur]],AB$2)=Table_BDD[[#This Row],[Equité après trade]],VLOOKUP(_xlfn.MAXIFS(Table_BDD[Horodatage cloture],Table_BDD[Date],Table_BDD[Date]),Table_BDD[[Horodatage ouverture]:[Heure derniere valeur]],AB$2),0)</f>
        <v>0</v>
      </c>
      <c r="AI94" s="32" t="e">
        <f>IF(Table_BDD[[#This Row],[Valeur fin de journée unique]]=0,#N/A,Table_BDD[[#This Row],[Valeur fin de journée unique]])</f>
        <v>#N/A</v>
      </c>
      <c r="AJ94" s="35">
        <f>IF(Table_BDD[[#This Row],[Position]]="","",(Table_BDD[[#This Row],[Equité après trade]]-Table_BDD[[#This Row],[Equité avant trade]])/Table_BDD[[#This Row],[Equité avant trade]])</f>
        <v>-5.0937617538015243E-3</v>
      </c>
      <c r="AK94" s="35" t="str">
        <f>IFERROR(((INDEX(Table_BDD[[Trade n°]:[Valeur fin de journée unique]],Table_BDD[[#This Row],[Nb de trade du jour]]+Table_BDD[[#This Row],[Trade n°]]-1,21))-Table_BDD[[#This Row],[Valeur début de journée unique]])/Table_BDD[[#This Row],[Valeur début de journée unique]],"")</f>
        <v/>
      </c>
      <c r="AL94" s="32">
        <f>IF(Table_BDD[[#This Row],[Position]]="","",MAX(Table_BDD[[#This Row],[Cumul équité]],AL93))</f>
        <v>1052.8399999999999</v>
      </c>
      <c r="AM94" s="32">
        <f>IF(Table_BDD[[#This Row],[Position]]="","",MIN(Table_BDD[[#This Row],[Cumul équité]],AL93))</f>
        <v>925.81000000000006</v>
      </c>
      <c r="AN94" s="97">
        <f>IF(Table_BDD[[#This Row],[Sommet Drawdown]]&gt;AL93,"",Table_BDD[[#This Row],[Creux Drawdown]]/Table_BDD[[#This Row],[Sommet Drawdown]]-1)</f>
        <v>-0.1206546103871432</v>
      </c>
      <c r="AO94" s="36">
        <f>IF(Table_BDD[[#This Row],[Position]]="","",IF(Table_BDD[[#This Row],[Type]]="buy",ROUND(Table_BDD[[#This Row],[Lvl Sortie]]-Table_BDD[[#This Row],[Lvl Entrée]],1),ROUND(Table_BDD[[#This Row],[Lvl Entrée]]-Table_BDD[[#This Row],[Lvl Sortie]],1)))</f>
        <v>-10.4</v>
      </c>
      <c r="AP94" s="36" t="str">
        <f>IF(Table_BDD[[#This Row],[Points]]&gt;0,Table_BDD[[#This Row],[Points]],"")</f>
        <v/>
      </c>
      <c r="AQ94" s="36">
        <f>IF(Table_BDD[[#This Row],[Points]]&lt;0,Table_BDD[[#This Row],[Points]],"")</f>
        <v>-10.4</v>
      </c>
      <c r="AR94" s="36">
        <f>SUM($AO$4:AO94)</f>
        <v>-161.89999999999998</v>
      </c>
      <c r="AS94" s="68">
        <f>IF(Table_BDD[[#This Row],[Position]]="","",IF(Table_BDD[[#This Row],[Conformité]]="Conforme",1,0))</f>
        <v>0</v>
      </c>
      <c r="AT94" s="68">
        <f>IF(Table_BDD[[#This Row],[Position]]="","",IF(Table_BDD[[#This Row],[Conformité]]="Non conforme",1,0))</f>
        <v>1</v>
      </c>
      <c r="AU94" s="37" t="s">
        <v>17</v>
      </c>
      <c r="AV94" s="37"/>
      <c r="AW94" s="37"/>
      <c r="AX94" s="37">
        <v>0</v>
      </c>
      <c r="AY94" s="37">
        <v>0</v>
      </c>
      <c r="AZ94" s="37">
        <v>0</v>
      </c>
      <c r="BA94" s="40" t="str">
        <f>IF(Table_BDD[[#This Row],[Position]]="","Sans objet",IF(AND(Table_BDD[[#This Row],[Type]]="sell",Table_BDD[[#This Row],[S / L]]&lt;Table_BDD[[#This Row],[Lvl Entrée]],Table_BDD[[#This Row],[Lvl Sortie]]&lt;=Table_BDD[[#This Row],[S / L]]+2,Table_BDD[[#This Row],[Lvl Sortie]]&lt;Table_BDD[[#This Row],[Lvl Entrée]]-19),"Oui",IF(AND(Table_BDD[[#This Row],[Type]]="buy",Table_BDD[[#This Row],[S / L]]&gt;Table_BDD[[#This Row],[Lvl Entrée]],Table_BDD[[#This Row],[Lvl Sortie]]&gt;=Table_BDD[[#This Row],[S / L]]-2,Table_BDD[[#This Row],[S / L]]&gt;Table_BDD[[#This Row],[Lvl Entrée]]+19),"Oui","Non")))</f>
        <v>Non</v>
      </c>
      <c r="BB94" s="40" t="str">
        <f>IF(Table_BDD[[#This Row],[Position]]="","Sans objet",IF(AND(Table_BDD[[#This Row],[Type]]="sell",Table_BDD[[#This Row],[S / L]]&lt;Table_BDD[[#This Row],[Lvl Entrée]],Table_BDD[[#This Row],[Points]]&gt;=-1),"Oui",IF(AND(Table_BDD[[#This Row],[Type]]="sell",Table_BDD[[#This Row],[S / L]]&gt;Table_BDD[[#This Row],[Lvl Entrée]]),"Non",IF(AND(Table_BDD[[#This Row],[Type]]="buy",Table_BDD[[#This Row],[S / L]]&lt;Table_BDD[[#This Row],[Lvl Entrée]]),"Non",IF(AND(Table_BDD[[#This Row],[Type]]="buy",Table_BDD[[#This Row],[S / L]]&gt;Table_BDD[[#This Row],[Lvl Entrée]],Table_BDD[[#This Row],[Points]]&gt;=-1),"Oui")))))</f>
        <v>Non</v>
      </c>
      <c r="BC94" s="40" t="str">
        <f>IF(Table_BDD[[#This Row],[Position]]="","Sans objet",IF(Table_BDD[[#This Row],[T / P]]="","Non",IF(AND(Table_BDD[[#This Row],[Type]]="sell",Table_BDD[[#This Row],[Lvl Sortie]]&lt;=Table_BDD[[#This Row],[T / P]]),"Oui",IF(AND(Table_BDD[[#This Row],[Type]]="buy",Table_BDD[[#This Row],[Lvl Sortie]]&gt;=Table_BDD[[#This Row],[T / P]]),"Oui","Non"))))</f>
        <v>Non</v>
      </c>
      <c r="BD94" s="91">
        <f t="array" ref="BD94">IFERROR(INDEX(downloadFile[#All],MATCH(Table_BDD[[#This Row],[Date]],downloadFile[[#All],[Column1]],0),2),BD93)</f>
        <v>1.0901000000000001</v>
      </c>
      <c r="BE94" s="89">
        <f>IF(Table_BDD[[#This Row],[Position]]="","",IF(Table_BDD[[#This Row],[Symbole]]="UsaInd",(Table_BDD[[#This Row],[Volume]]*Table_BDD[[#This Row],[Lvl Entrée]])/(Table_BDD[[#This Row],[Equité avant trade]]*Table_BDD[[#This Row],[EUR/USD]]),IF(Table_BDD[[#This Row],[Symbole]]="Ger30",(Table_BDD[[#This Row],[Volume]]*Table_BDD[[#This Row],[Lvl Entrée]])/Table_BDD[[#This Row],[Equité avant trade]],)))</f>
        <v>14.41998950790801</v>
      </c>
      <c r="BF94" s="38">
        <f>IF(Table_BDD[[#This Row],[Position]]="","",IF(Table_BDD[[#This Row],[Conformité]]="Non conforme",0,(MROUND(3*((Table_BDD[[#This Row],[Conviction]]+Table_BDD[[#This Row],[Timing]]+Table_BDD[[#This Row],[Sortie]])+1)-2,1))))</f>
        <v>0</v>
      </c>
      <c r="BG94" s="38" t="str">
        <f>IF(Table_BDD[[#This Row],[Position]]="","",IF(Table_BDD[[#This Row],[Points]]&lt;-5,"--",IF(AND(Table_BDD[[#This Row],[Points]]&gt;=-5,Table_BDD[[#This Row],[Points]]&lt;-1.5),"-",IF(AND(Table_BDD[[#This Row],[Points]]&gt;=-1.5,Table_BDD[[#This Row],[Points]]&lt;1.5),"0",IF(AND(Table_BDD[[#This Row],[Points]]&gt;=1.5,Table_BDD[[#This Row],[Points]]&lt;=70),"+",IF(Table_BDD[[#This Row],[Points]]&gt;70,"++"))))))</f>
        <v>--</v>
      </c>
      <c r="BH94" s="37" t="str">
        <f>IF(Table_BDD[[#This Row],[Position]]="","",IF(Table_BDD[[#This Row],[Points]]&gt;0,"Gagnant",IF(Table_BDD[[#This Row],[Points]]=0,"Flat","Perdant")))</f>
        <v>Perdant</v>
      </c>
      <c r="BI94" s="40">
        <f>IF(Table_BDD[[#This Row],[Position]]="","",IF(Table_BDD[[#This Row],[Résultat]]="Gagnant",1,0))</f>
        <v>0</v>
      </c>
      <c r="BJ94" s="40">
        <f>IF(Table_BDD[[#This Row],[Position]]="","",IF(Table_BDD[[#This Row],[Résultat]]="Perdant",1,0))</f>
        <v>1</v>
      </c>
      <c r="BK94" s="40"/>
      <c r="BL94" s="145" t="str">
        <f>IF(Table_BDD[[#This Row],[T / P]]="","",Table_BDD[[#This Row],[T / P]])</f>
        <v/>
      </c>
      <c r="BM94" s="147"/>
      <c r="BN94" s="147"/>
      <c r="BO94" s="147"/>
      <c r="BP94" s="147"/>
      <c r="BQ94" s="127"/>
    </row>
    <row r="95" spans="1:69" x14ac:dyDescent="0.2">
      <c r="A95" s="93">
        <v>43872.882106481484</v>
      </c>
      <c r="B95" s="94">
        <v>259783008</v>
      </c>
      <c r="C95" s="37" t="s">
        <v>8</v>
      </c>
      <c r="D95" s="37" t="s">
        <v>9</v>
      </c>
      <c r="E95" s="37">
        <v>0.5</v>
      </c>
      <c r="F95" s="95">
        <v>29251.03</v>
      </c>
      <c r="G95" s="95">
        <v>29241.03</v>
      </c>
      <c r="H95" s="95">
        <v>29551.03</v>
      </c>
      <c r="I95" s="93">
        <v>43872.882847222223</v>
      </c>
      <c r="J95" s="95">
        <v>29240.78</v>
      </c>
      <c r="K95" s="95">
        <v>0</v>
      </c>
      <c r="L95" s="95">
        <v>0</v>
      </c>
      <c r="M95" s="32">
        <v>-4.7</v>
      </c>
      <c r="N95" s="148">
        <f>IF(Table_BDD[[#This Row],[Position]]="","",ROW()-3)</f>
        <v>92</v>
      </c>
      <c r="O95" s="32">
        <f>SUM($L$4:M95)</f>
        <v>-78.889999999999972</v>
      </c>
      <c r="P95" s="32">
        <f>Table_BDD[[#This Row],[Equité avant trade]]+Table_BDD[[#This Row],[Profit]]+Table_BDD[[#This Row],[Echange]]</f>
        <v>921.11</v>
      </c>
      <c r="Q95" s="52">
        <f>INT(Table_BDD[[#This Row],[Horodatage cloture]])</f>
        <v>43872</v>
      </c>
      <c r="R95" s="34">
        <f>WEEKNUM(Table_BDD[[#This Row],[Horodatage cloture]],2)</f>
        <v>7</v>
      </c>
      <c r="S95" s="61">
        <f>WEEKDAY(Table_BDD[[#This Row],[Horodatage cloture]])</f>
        <v>3</v>
      </c>
      <c r="T95" s="63">
        <f>HOUR(Table_BDD[[#This Row],[Horodatage cloture]])</f>
        <v>21</v>
      </c>
      <c r="U95" s="68">
        <f>IF(Table_BDD[[#This Row],[Position]]="","",IF(Table_BDD[[#This Row],[Valeur début de journée unique]]&lt;&gt;0,1,0))</f>
        <v>0</v>
      </c>
      <c r="V95" s="68" t="str">
        <f>IF(Table_BDD[[#This Row],[Nb de séance de trading]]=1,COUNTIF(Table_BDD[Date],Table_BDD[[#This Row],[Date]]),"")</f>
        <v/>
      </c>
      <c r="W95" s="33">
        <f>IF(Table_BDD[[#This Row],[Position]]="","",IF(Table_BDD[[#This Row],[Type]]="buy",ROUND(Table_BDD[[#This Row],[Lvl Entrée]]-Table_BDD[[#This Row],[S / L]],1),ROUND(Table_BDD[[#This Row],[S / L]]-Table_BDD[[#This Row],[Lvl Entrée]],1)))</f>
        <v>10</v>
      </c>
      <c r="X95" s="33">
        <f>IF(Table_BDD[[#This Row],[Position]]="","",IF(Table_BDD[[#This Row],[T / P]]=0,200,IF(Table_BDD[[#This Row],[Type]]="buy",ROUND(Table_BDD[[#This Row],[T / P]]-Table_BDD[[#This Row],[Lvl Entrée]],1),ROUND(Table_BDD[[#This Row],[Lvl Entrée]]-Table_BDD[[#This Row],[T / P]],1))))</f>
        <v>300</v>
      </c>
      <c r="Y95" s="34">
        <f>IF(Table_BDD[[#This Row],[Position]]="","",IF(Table_BDD[[#This Row],[Ecart du SL]]&gt;0,ROUND(ABS(Table_BDD[[#This Row],[Ecart du TP]])/ABS(Table_BDD[[#This Row],[Ecart du SL]]),1),ROUND(ABS(Table_BDD[[#This Row],[Ecart du TP]])/10,1)))</f>
        <v>30</v>
      </c>
      <c r="Z95" s="34">
        <f>IF(Table_BDD[[#This Row],[Position]]="","",IF(Table_BDD[[#This Row],[Ecart du SL]]&lt;0,IF(AND(Table_BDD[[#This Row],[Profit]]&gt;0,Table_BDD[[#This Row],[Type]]="sell"),ROUND((Table_BDD[[#This Row],[Lvl Entrée]]-Table_BDD[[#This Row],[Lvl Sortie]])/(10),1),IF(AND(Table_BDD[[#This Row],[Profit]]&gt;0,Table_BDD[[#This Row],[Type]]="buy"),ROUND((Table_BDD[[#This Row],[Lvl Sortie]]-Table_BDD[[#This Row],[Lvl Entrée]])/(10),1),)),IF(AND(Table_BDD[[#This Row],[Profit]]&gt;0,Table_BDD[[#This Row],[Type]]="sell"),ROUND((Table_BDD[[#This Row],[Lvl Entrée]]-Table_BDD[[#This Row],[Lvl Sortie]])/(Table_BDD[[#This Row],[S / L]]-Table_BDD[[#This Row],[Lvl Entrée]]),1),IF(AND(Table_BDD[[#This Row],[Profit]]&gt;0,Table_BDD[[#This Row],[Type]]="buy"),ROUND((Table_BDD[[#This Row],[Lvl Sortie]]-Table_BDD[[#This Row],[Lvl Entrée]])/(Table_BDD[[#This Row],[Lvl Entrée]]-Table_BDD[[#This Row],[S / L]]),1),ROUND(Table_BDD[[#This Row],[Points]]/10,1)))))</f>
        <v>-1</v>
      </c>
      <c r="AA95" s="32">
        <f>IF(Table_BDD[[#This Row],[Position]]="",AA94,Table_BDD[[#This Row],[Equité après trade]]-Table_BDD[[#This Row],[Profit]]-Table_BDD[[#This Row],[Echange]])</f>
        <v>925.81000000000006</v>
      </c>
      <c r="AB95" s="149">
        <f>$B$1+SUM($L$4:M95)</f>
        <v>921.11</v>
      </c>
      <c r="AC95" s="150">
        <f>IF(Table_BDD[[#This Row],[Position]]="","",_xlfn.MINIFS(Table_BDD[Horodatage ouverture],Table_BDD[Date],Table_BDD[Date]))</f>
        <v>43872.646979166668</v>
      </c>
      <c r="AD95" s="149">
        <f>VLOOKUP(_xlfn.MINIFS(Table_BDD[Horodatage ouverture],Table_BDD[Date],Table_BDD[Date]),Table_BDD[[Horodatage ouverture]:[Heure derniere valeur]],AA$2)</f>
        <v>984.33</v>
      </c>
      <c r="AE95" s="149">
        <f>IF(VLOOKUP(_xlfn.MINIFS(Table_BDD[Horodatage ouverture],Table_BDD[Date],Table_BDD[Date]),Table_BDD[[Horodatage ouverture]:[Heure derniere valeur]],AA$2)=Table_BDD[[#This Row],[Equité avant trade]],VLOOKUP(_xlfn.MINIFS(Table_BDD[Horodatage ouverture],Table_BDD[Date],Table_BDD[Date]),Table_BDD[[Horodatage ouverture]:[Heure derniere valeur]],AA$2),0)</f>
        <v>0</v>
      </c>
      <c r="AF95" s="150">
        <f>IF(Table_BDD[[#This Row],[Position]]="","",_xlfn.MAXIFS(Table_BDD[Horodatage ouverture],Table_BDD[Date],Table_BDD[Date]))</f>
        <v>43872.882106481484</v>
      </c>
      <c r="AG95" s="32">
        <f>VLOOKUP(_xlfn.MAXIFS(Table_BDD[Horodatage cloture],Table_BDD[Date],Table_BDD[Date]),Table_BDD[[Horodatage ouverture]:[Heure derniere valeur]],AB$2)</f>
        <v>921.11</v>
      </c>
      <c r="AH95" s="32">
        <f>IF(VLOOKUP(_xlfn.MAXIFS(Table_BDD[Horodatage cloture],Table_BDD[Date],Table_BDD[Date]),Table_BDD[[Horodatage ouverture]:[Heure derniere valeur]],AB$2)=Table_BDD[[#This Row],[Equité après trade]],VLOOKUP(_xlfn.MAXIFS(Table_BDD[Horodatage cloture],Table_BDD[Date],Table_BDD[Date]),Table_BDD[[Horodatage ouverture]:[Heure derniere valeur]],AB$2),0)</f>
        <v>921.11</v>
      </c>
      <c r="AI95" s="32">
        <f>IF(Table_BDD[[#This Row],[Valeur fin de journée unique]]=0,#N/A,Table_BDD[[#This Row],[Valeur fin de journée unique]])</f>
        <v>921.11</v>
      </c>
      <c r="AJ95" s="35">
        <f>IF(Table_BDD[[#This Row],[Position]]="","",(Table_BDD[[#This Row],[Equité après trade]]-Table_BDD[[#This Row],[Equité avant trade]])/Table_BDD[[#This Row],[Equité avant trade]])</f>
        <v>-5.0766355947765148E-3</v>
      </c>
      <c r="AK95" s="35" t="str">
        <f>IFERROR(((INDEX(Table_BDD[[Trade n°]:[Valeur fin de journée unique]],Table_BDD[[#This Row],[Nb de trade du jour]]+Table_BDD[[#This Row],[Trade n°]]-1,21))-Table_BDD[[#This Row],[Valeur début de journée unique]])/Table_BDD[[#This Row],[Valeur début de journée unique]],"")</f>
        <v/>
      </c>
      <c r="AL95" s="32">
        <f>IF(Table_BDD[[#This Row],[Position]]="","",MAX(Table_BDD[[#This Row],[Cumul équité]],AL94))</f>
        <v>1052.8399999999999</v>
      </c>
      <c r="AM95" s="32">
        <f>IF(Table_BDD[[#This Row],[Position]]="","",MIN(Table_BDD[[#This Row],[Cumul équité]],AL94))</f>
        <v>921.11</v>
      </c>
      <c r="AN95" s="97">
        <f>IF(Table_BDD[[#This Row],[Sommet Drawdown]]&gt;AL94,"",Table_BDD[[#This Row],[Creux Drawdown]]/Table_BDD[[#This Row],[Sommet Drawdown]]-1)</f>
        <v>-0.1251187264921545</v>
      </c>
      <c r="AO95" s="36">
        <f>IF(Table_BDD[[#This Row],[Position]]="","",IF(Table_BDD[[#This Row],[Type]]="buy",ROUND(Table_BDD[[#This Row],[Lvl Sortie]]-Table_BDD[[#This Row],[Lvl Entrée]],1),ROUND(Table_BDD[[#This Row],[Lvl Entrée]]-Table_BDD[[#This Row],[Lvl Sortie]],1)))</f>
        <v>-10.3</v>
      </c>
      <c r="AP95" s="36" t="str">
        <f>IF(Table_BDD[[#This Row],[Points]]&gt;0,Table_BDD[[#This Row],[Points]],"")</f>
        <v/>
      </c>
      <c r="AQ95" s="36">
        <f>IF(Table_BDD[[#This Row],[Points]]&lt;0,Table_BDD[[#This Row],[Points]],"")</f>
        <v>-10.3</v>
      </c>
      <c r="AR95" s="36">
        <f>SUM($AO$4:AO95)</f>
        <v>-172.2</v>
      </c>
      <c r="AS95" s="68">
        <f>IF(Table_BDD[[#This Row],[Position]]="","",IF(Table_BDD[[#This Row],[Conformité]]="Conforme",1,0))</f>
        <v>0</v>
      </c>
      <c r="AT95" s="68">
        <f>IF(Table_BDD[[#This Row],[Position]]="","",IF(Table_BDD[[#This Row],[Conformité]]="Non conforme",1,0))</f>
        <v>1</v>
      </c>
      <c r="AU95" s="37" t="s">
        <v>17</v>
      </c>
      <c r="AV95" s="37"/>
      <c r="AW95" s="37"/>
      <c r="AX95" s="37">
        <v>0</v>
      </c>
      <c r="AY95" s="37">
        <v>0</v>
      </c>
      <c r="AZ95" s="37">
        <v>0</v>
      </c>
      <c r="BA95" s="40" t="str">
        <f>IF(Table_BDD[[#This Row],[Position]]="","Sans objet",IF(AND(Table_BDD[[#This Row],[Type]]="sell",Table_BDD[[#This Row],[S / L]]&lt;Table_BDD[[#This Row],[Lvl Entrée]],Table_BDD[[#This Row],[Lvl Sortie]]&lt;=Table_BDD[[#This Row],[S / L]]+2,Table_BDD[[#This Row],[Lvl Sortie]]&lt;Table_BDD[[#This Row],[Lvl Entrée]]-19),"Oui",IF(AND(Table_BDD[[#This Row],[Type]]="buy",Table_BDD[[#This Row],[S / L]]&gt;Table_BDD[[#This Row],[Lvl Entrée]],Table_BDD[[#This Row],[Lvl Sortie]]&gt;=Table_BDD[[#This Row],[S / L]]-2,Table_BDD[[#This Row],[S / L]]&gt;Table_BDD[[#This Row],[Lvl Entrée]]+19),"Oui","Non")))</f>
        <v>Non</v>
      </c>
      <c r="BB95" s="40" t="str">
        <f>IF(Table_BDD[[#This Row],[Position]]="","Sans objet",IF(AND(Table_BDD[[#This Row],[Type]]="sell",Table_BDD[[#This Row],[S / L]]&lt;Table_BDD[[#This Row],[Lvl Entrée]],Table_BDD[[#This Row],[Points]]&gt;=-1),"Oui",IF(AND(Table_BDD[[#This Row],[Type]]="sell",Table_BDD[[#This Row],[S / L]]&gt;Table_BDD[[#This Row],[Lvl Entrée]]),"Non",IF(AND(Table_BDD[[#This Row],[Type]]="buy",Table_BDD[[#This Row],[S / L]]&lt;Table_BDD[[#This Row],[Lvl Entrée]]),"Non",IF(AND(Table_BDD[[#This Row],[Type]]="buy",Table_BDD[[#This Row],[S / L]]&gt;Table_BDD[[#This Row],[Lvl Entrée]],Table_BDD[[#This Row],[Points]]&gt;=-1),"Oui")))))</f>
        <v>Non</v>
      </c>
      <c r="BC95" s="40" t="str">
        <f>IF(Table_BDD[[#This Row],[Position]]="","Sans objet",IF(Table_BDD[[#This Row],[T / P]]="","Non",IF(AND(Table_BDD[[#This Row],[Type]]="sell",Table_BDD[[#This Row],[Lvl Sortie]]&lt;=Table_BDD[[#This Row],[T / P]]),"Oui",IF(AND(Table_BDD[[#This Row],[Type]]="buy",Table_BDD[[#This Row],[Lvl Sortie]]&gt;=Table_BDD[[#This Row],[T / P]]),"Oui","Non"))))</f>
        <v>Non</v>
      </c>
      <c r="BD95" s="91">
        <f t="array" ref="BD95">IFERROR(INDEX(downloadFile[#All],MATCH(Table_BDD[[#This Row],[Date]],downloadFile[[#All],[Column1]],0),2),BD94)</f>
        <v>1.0901000000000001</v>
      </c>
      <c r="BE95" s="89">
        <f>IF(Table_BDD[[#This Row],[Position]]="","",IF(Table_BDD[[#This Row],[Symbole]]="UsaInd",(Table_BDD[[#This Row],[Volume]]*Table_BDD[[#This Row],[Lvl Entrée]])/(Table_BDD[[#This Row],[Equité avant trade]]*Table_BDD[[#This Row],[EUR/USD]]),IF(Table_BDD[[#This Row],[Symbole]]="Ger30",(Table_BDD[[#This Row],[Volume]]*Table_BDD[[#This Row],[Lvl Entrée]])/Table_BDD[[#This Row],[Equité avant trade]],)))</f>
        <v>14.491820980885437</v>
      </c>
      <c r="BF95" s="38">
        <f>IF(Table_BDD[[#This Row],[Position]]="","",IF(Table_BDD[[#This Row],[Conformité]]="Non conforme",0,(MROUND(3*((Table_BDD[[#This Row],[Conviction]]+Table_BDD[[#This Row],[Timing]]+Table_BDD[[#This Row],[Sortie]])+1)-2,1))))</f>
        <v>0</v>
      </c>
      <c r="BG95" s="38" t="str">
        <f>IF(Table_BDD[[#This Row],[Position]]="","",IF(Table_BDD[[#This Row],[Points]]&lt;-5,"--",IF(AND(Table_BDD[[#This Row],[Points]]&gt;=-5,Table_BDD[[#This Row],[Points]]&lt;-1.5),"-",IF(AND(Table_BDD[[#This Row],[Points]]&gt;=-1.5,Table_BDD[[#This Row],[Points]]&lt;1.5),"0",IF(AND(Table_BDD[[#This Row],[Points]]&gt;=1.5,Table_BDD[[#This Row],[Points]]&lt;=70),"+",IF(Table_BDD[[#This Row],[Points]]&gt;70,"++"))))))</f>
        <v>--</v>
      </c>
      <c r="BH95" s="37" t="str">
        <f>IF(Table_BDD[[#This Row],[Position]]="","",IF(Table_BDD[[#This Row],[Points]]&gt;0,"Gagnant",IF(Table_BDD[[#This Row],[Points]]=0,"Flat","Perdant")))</f>
        <v>Perdant</v>
      </c>
      <c r="BI95" s="40">
        <f>IF(Table_BDD[[#This Row],[Position]]="","",IF(Table_BDD[[#This Row],[Résultat]]="Gagnant",1,0))</f>
        <v>0</v>
      </c>
      <c r="BJ95" s="40">
        <f>IF(Table_BDD[[#This Row],[Position]]="","",IF(Table_BDD[[#This Row],[Résultat]]="Perdant",1,0))</f>
        <v>1</v>
      </c>
      <c r="BK95" s="40"/>
      <c r="BL95" s="145">
        <f>IF(Table_BDD[[#This Row],[T / P]]="","",Table_BDD[[#This Row],[T / P]])</f>
        <v>29551.03</v>
      </c>
      <c r="BM95" s="147"/>
      <c r="BN95" s="147"/>
      <c r="BO95" s="147"/>
      <c r="BP95" s="147"/>
      <c r="BQ95" s="127"/>
    </row>
    <row r="96" spans="1:69" x14ac:dyDescent="0.2">
      <c r="A96" s="93">
        <v>43873.478587962964</v>
      </c>
      <c r="B96" s="94">
        <v>259810614</v>
      </c>
      <c r="C96" s="37" t="s">
        <v>8</v>
      </c>
      <c r="D96" s="37" t="s">
        <v>9</v>
      </c>
      <c r="E96" s="37">
        <v>0.5</v>
      </c>
      <c r="F96" s="95">
        <v>29391.97</v>
      </c>
      <c r="G96" s="95">
        <v>29381.97</v>
      </c>
      <c r="H96" s="95">
        <v>29531.97</v>
      </c>
      <c r="I96" s="93">
        <v>43873.48300925926</v>
      </c>
      <c r="J96" s="95">
        <v>29381.75</v>
      </c>
      <c r="K96" s="95">
        <v>0</v>
      </c>
      <c r="L96" s="95">
        <v>0</v>
      </c>
      <c r="M96" s="32">
        <v>-4.68</v>
      </c>
      <c r="N96" s="148">
        <f>IF(Table_BDD[[#This Row],[Position]]="","",ROW()-3)</f>
        <v>93</v>
      </c>
      <c r="O96" s="32">
        <f>SUM($L$4:M96)</f>
        <v>-83.569999999999965</v>
      </c>
      <c r="P96" s="32">
        <f>Table_BDD[[#This Row],[Equité avant trade]]+Table_BDD[[#This Row],[Profit]]+Table_BDD[[#This Row],[Echange]]</f>
        <v>916.43000000000006</v>
      </c>
      <c r="Q96" s="52">
        <f>INT(Table_BDD[[#This Row],[Horodatage cloture]])</f>
        <v>43873</v>
      </c>
      <c r="R96" s="34">
        <f>WEEKNUM(Table_BDD[[#This Row],[Horodatage cloture]],2)</f>
        <v>7</v>
      </c>
      <c r="S96" s="61">
        <f>WEEKDAY(Table_BDD[[#This Row],[Horodatage cloture]])</f>
        <v>4</v>
      </c>
      <c r="T96" s="63">
        <f>HOUR(Table_BDD[[#This Row],[Horodatage cloture]])</f>
        <v>11</v>
      </c>
      <c r="U96" s="68">
        <f>IF(Table_BDD[[#This Row],[Position]]="","",IF(Table_BDD[[#This Row],[Valeur début de journée unique]]&lt;&gt;0,1,0))</f>
        <v>1</v>
      </c>
      <c r="V96" s="68">
        <f>IF(Table_BDD[[#This Row],[Nb de séance de trading]]=1,COUNTIF(Table_BDD[Date],Table_BDD[[#This Row],[Date]]),"")</f>
        <v>6</v>
      </c>
      <c r="W96" s="33">
        <f>IF(Table_BDD[[#This Row],[Position]]="","",IF(Table_BDD[[#This Row],[Type]]="buy",ROUND(Table_BDD[[#This Row],[Lvl Entrée]]-Table_BDD[[#This Row],[S / L]],1),ROUND(Table_BDD[[#This Row],[S / L]]-Table_BDD[[#This Row],[Lvl Entrée]],1)))</f>
        <v>10</v>
      </c>
      <c r="X96" s="33">
        <f>IF(Table_BDD[[#This Row],[Position]]="","",IF(Table_BDD[[#This Row],[T / P]]=0,200,IF(Table_BDD[[#This Row],[Type]]="buy",ROUND(Table_BDD[[#This Row],[T / P]]-Table_BDD[[#This Row],[Lvl Entrée]],1),ROUND(Table_BDD[[#This Row],[Lvl Entrée]]-Table_BDD[[#This Row],[T / P]],1))))</f>
        <v>140</v>
      </c>
      <c r="Y96" s="34">
        <f>IF(Table_BDD[[#This Row],[Position]]="","",IF(Table_BDD[[#This Row],[Ecart du SL]]&gt;0,ROUND(ABS(Table_BDD[[#This Row],[Ecart du TP]])/ABS(Table_BDD[[#This Row],[Ecart du SL]]),1),ROUND(ABS(Table_BDD[[#This Row],[Ecart du TP]])/10,1)))</f>
        <v>14</v>
      </c>
      <c r="Z96" s="34">
        <f>IF(Table_BDD[[#This Row],[Position]]="","",IF(Table_BDD[[#This Row],[Ecart du SL]]&lt;0,IF(AND(Table_BDD[[#This Row],[Profit]]&gt;0,Table_BDD[[#This Row],[Type]]="sell"),ROUND((Table_BDD[[#This Row],[Lvl Entrée]]-Table_BDD[[#This Row],[Lvl Sortie]])/(10),1),IF(AND(Table_BDD[[#This Row],[Profit]]&gt;0,Table_BDD[[#This Row],[Type]]="buy"),ROUND((Table_BDD[[#This Row],[Lvl Sortie]]-Table_BDD[[#This Row],[Lvl Entrée]])/(10),1),)),IF(AND(Table_BDD[[#This Row],[Profit]]&gt;0,Table_BDD[[#This Row],[Type]]="sell"),ROUND((Table_BDD[[#This Row],[Lvl Entrée]]-Table_BDD[[#This Row],[Lvl Sortie]])/(Table_BDD[[#This Row],[S / L]]-Table_BDD[[#This Row],[Lvl Entrée]]),1),IF(AND(Table_BDD[[#This Row],[Profit]]&gt;0,Table_BDD[[#This Row],[Type]]="buy"),ROUND((Table_BDD[[#This Row],[Lvl Sortie]]-Table_BDD[[#This Row],[Lvl Entrée]])/(Table_BDD[[#This Row],[Lvl Entrée]]-Table_BDD[[#This Row],[S / L]]),1),ROUND(Table_BDD[[#This Row],[Points]]/10,1)))))</f>
        <v>-1</v>
      </c>
      <c r="AA96" s="32">
        <f>IF(Table_BDD[[#This Row],[Position]]="",AA95,Table_BDD[[#This Row],[Equité après trade]]-Table_BDD[[#This Row],[Profit]]-Table_BDD[[#This Row],[Echange]])</f>
        <v>921.11</v>
      </c>
      <c r="AB96" s="149">
        <f>$B$1+SUM($L$4:M96)</f>
        <v>916.43000000000006</v>
      </c>
      <c r="AC96" s="150">
        <f>IF(Table_BDD[[#This Row],[Position]]="","",_xlfn.MINIFS(Table_BDD[Horodatage ouverture],Table_BDD[Date],Table_BDD[Date]))</f>
        <v>43873.478587962964</v>
      </c>
      <c r="AD96" s="149">
        <f>VLOOKUP(_xlfn.MINIFS(Table_BDD[Horodatage ouverture],Table_BDD[Date],Table_BDD[Date]),Table_BDD[[Horodatage ouverture]:[Heure derniere valeur]],AA$2)</f>
        <v>921.11</v>
      </c>
      <c r="AE96" s="149">
        <f>IF(VLOOKUP(_xlfn.MINIFS(Table_BDD[Horodatage ouverture],Table_BDD[Date],Table_BDD[Date]),Table_BDD[[Horodatage ouverture]:[Heure derniere valeur]],AA$2)=Table_BDD[[#This Row],[Equité avant trade]],VLOOKUP(_xlfn.MINIFS(Table_BDD[Horodatage ouverture],Table_BDD[Date],Table_BDD[Date]),Table_BDD[[Horodatage ouverture]:[Heure derniere valeur]],AA$2),0)</f>
        <v>921.11</v>
      </c>
      <c r="AF96" s="150">
        <f>IF(Table_BDD[[#This Row],[Position]]="","",_xlfn.MAXIFS(Table_BDD[Horodatage ouverture],Table_BDD[Date],Table_BDD[Date]))</f>
        <v>43873.688703703701</v>
      </c>
      <c r="AG96" s="32">
        <f>VLOOKUP(_xlfn.MAXIFS(Table_BDD[Horodatage cloture],Table_BDD[Date],Table_BDD[Date]),Table_BDD[[Horodatage ouverture]:[Heure derniere valeur]],AB$2)</f>
        <v>920.68000000000006</v>
      </c>
      <c r="AH96" s="32">
        <f>IF(VLOOKUP(_xlfn.MAXIFS(Table_BDD[Horodatage cloture],Table_BDD[Date],Table_BDD[Date]),Table_BDD[[Horodatage ouverture]:[Heure derniere valeur]],AB$2)=Table_BDD[[#This Row],[Equité après trade]],VLOOKUP(_xlfn.MAXIFS(Table_BDD[Horodatage cloture],Table_BDD[Date],Table_BDD[Date]),Table_BDD[[Horodatage ouverture]:[Heure derniere valeur]],AB$2),0)</f>
        <v>0</v>
      </c>
      <c r="AI96" s="32" t="e">
        <f>IF(Table_BDD[[#This Row],[Valeur fin de journée unique]]=0,#N/A,Table_BDD[[#This Row],[Valeur fin de journée unique]])</f>
        <v>#N/A</v>
      </c>
      <c r="AJ96" s="35">
        <f>IF(Table_BDD[[#This Row],[Position]]="","",(Table_BDD[[#This Row],[Equité après trade]]-Table_BDD[[#This Row],[Equité avant trade]])/Table_BDD[[#This Row],[Equité avant trade]])</f>
        <v>-5.0808263942416759E-3</v>
      </c>
      <c r="AK96" s="35">
        <f>IFERROR(((INDEX(Table_BDD[[Trade n°]:[Valeur fin de journée unique]],Table_BDD[[#This Row],[Nb de trade du jour]]+Table_BDD[[#This Row],[Trade n°]]-1,21))-Table_BDD[[#This Row],[Valeur début de journée unique]])/Table_BDD[[#This Row],[Valeur début de journée unique]],"")</f>
        <v>-4.6682806613754056E-4</v>
      </c>
      <c r="AL96" s="32">
        <f>IF(Table_BDD[[#This Row],[Position]]="","",MAX(Table_BDD[[#This Row],[Cumul équité]],AL95))</f>
        <v>1052.8399999999999</v>
      </c>
      <c r="AM96" s="32">
        <f>IF(Table_BDD[[#This Row],[Position]]="","",MIN(Table_BDD[[#This Row],[Cumul équité]],AL95))</f>
        <v>916.43000000000006</v>
      </c>
      <c r="AN96" s="97">
        <f>IF(Table_BDD[[#This Row],[Sommet Drawdown]]&gt;AL95,"",Table_BDD[[#This Row],[Creux Drawdown]]/Table_BDD[[#This Row],[Sommet Drawdown]]-1)</f>
        <v>-0.12956384635842089</v>
      </c>
      <c r="AO96" s="36">
        <f>IF(Table_BDD[[#This Row],[Position]]="","",IF(Table_BDD[[#This Row],[Type]]="buy",ROUND(Table_BDD[[#This Row],[Lvl Sortie]]-Table_BDD[[#This Row],[Lvl Entrée]],1),ROUND(Table_BDD[[#This Row],[Lvl Entrée]]-Table_BDD[[#This Row],[Lvl Sortie]],1)))</f>
        <v>-10.199999999999999</v>
      </c>
      <c r="AP96" s="36" t="str">
        <f>IF(Table_BDD[[#This Row],[Points]]&gt;0,Table_BDD[[#This Row],[Points]],"")</f>
        <v/>
      </c>
      <c r="AQ96" s="36">
        <f>IF(Table_BDD[[#This Row],[Points]]&lt;0,Table_BDD[[#This Row],[Points]],"")</f>
        <v>-10.199999999999999</v>
      </c>
      <c r="AR96" s="36">
        <f>SUM($AO$4:AO96)</f>
        <v>-182.39999999999998</v>
      </c>
      <c r="AS96" s="68">
        <f>IF(Table_BDD[[#This Row],[Position]]="","",IF(Table_BDD[[#This Row],[Conformité]]="Conforme",1,0))</f>
        <v>0</v>
      </c>
      <c r="AT96" s="68">
        <f>IF(Table_BDD[[#This Row],[Position]]="","",IF(Table_BDD[[#This Row],[Conformité]]="Non conforme",1,0))</f>
        <v>1</v>
      </c>
      <c r="AU96" s="37" t="s">
        <v>17</v>
      </c>
      <c r="AV96" s="37"/>
      <c r="AW96" s="37"/>
      <c r="AX96" s="37">
        <v>0</v>
      </c>
      <c r="AY96" s="37">
        <v>0</v>
      </c>
      <c r="AZ96" s="37">
        <v>0</v>
      </c>
      <c r="BA96" s="40" t="str">
        <f>IF(Table_BDD[[#This Row],[Position]]="","Sans objet",IF(AND(Table_BDD[[#This Row],[Type]]="sell",Table_BDD[[#This Row],[S / L]]&lt;Table_BDD[[#This Row],[Lvl Entrée]],Table_BDD[[#This Row],[Lvl Sortie]]&lt;=Table_BDD[[#This Row],[S / L]]+2,Table_BDD[[#This Row],[Lvl Sortie]]&lt;Table_BDD[[#This Row],[Lvl Entrée]]-19),"Oui",IF(AND(Table_BDD[[#This Row],[Type]]="buy",Table_BDD[[#This Row],[S / L]]&gt;Table_BDD[[#This Row],[Lvl Entrée]],Table_BDD[[#This Row],[Lvl Sortie]]&gt;=Table_BDD[[#This Row],[S / L]]-2,Table_BDD[[#This Row],[S / L]]&gt;Table_BDD[[#This Row],[Lvl Entrée]]+19),"Oui","Non")))</f>
        <v>Non</v>
      </c>
      <c r="BB96" s="40" t="str">
        <f>IF(Table_BDD[[#This Row],[Position]]="","Sans objet",IF(AND(Table_BDD[[#This Row],[Type]]="sell",Table_BDD[[#This Row],[S / L]]&lt;Table_BDD[[#This Row],[Lvl Entrée]],Table_BDD[[#This Row],[Points]]&gt;=-1),"Oui",IF(AND(Table_BDD[[#This Row],[Type]]="sell",Table_BDD[[#This Row],[S / L]]&gt;Table_BDD[[#This Row],[Lvl Entrée]]),"Non",IF(AND(Table_BDD[[#This Row],[Type]]="buy",Table_BDD[[#This Row],[S / L]]&lt;Table_BDD[[#This Row],[Lvl Entrée]]),"Non",IF(AND(Table_BDD[[#This Row],[Type]]="buy",Table_BDD[[#This Row],[S / L]]&gt;Table_BDD[[#This Row],[Lvl Entrée]],Table_BDD[[#This Row],[Points]]&gt;=-1),"Oui")))))</f>
        <v>Non</v>
      </c>
      <c r="BC96" s="40" t="str">
        <f>IF(Table_BDD[[#This Row],[Position]]="","Sans objet",IF(Table_BDD[[#This Row],[T / P]]="","Non",IF(AND(Table_BDD[[#This Row],[Type]]="sell",Table_BDD[[#This Row],[Lvl Sortie]]&lt;=Table_BDD[[#This Row],[T / P]]),"Oui",IF(AND(Table_BDD[[#This Row],[Type]]="buy",Table_BDD[[#This Row],[Lvl Sortie]]&gt;=Table_BDD[[#This Row],[T / P]]),"Oui","Non"))))</f>
        <v>Non</v>
      </c>
      <c r="BD96" s="91">
        <f t="array" ref="BD96">IFERROR(INDEX(downloadFile[#All],MATCH(Table_BDD[[#This Row],[Date]],downloadFile[[#All],[Column1]],0),2),BD95)</f>
        <v>1.0913999999999999</v>
      </c>
      <c r="BE96" s="89">
        <f>IF(Table_BDD[[#This Row],[Position]]="","",IF(Table_BDD[[#This Row],[Symbole]]="UsaInd",(Table_BDD[[#This Row],[Volume]]*Table_BDD[[#This Row],[Lvl Entrée]])/(Table_BDD[[#This Row],[Equité avant trade]]*Table_BDD[[#This Row],[EUR/USD]]),IF(Table_BDD[[#This Row],[Symbole]]="Ger30",(Table_BDD[[#This Row],[Volume]]*Table_BDD[[#This Row],[Lvl Entrée]])/Table_BDD[[#This Row],[Equité avant trade]],)))</f>
        <v>14.618514852988273</v>
      </c>
      <c r="BF96" s="38">
        <f>IF(Table_BDD[[#This Row],[Position]]="","",IF(Table_BDD[[#This Row],[Conformité]]="Non conforme",0,(MROUND(3*((Table_BDD[[#This Row],[Conviction]]+Table_BDD[[#This Row],[Timing]]+Table_BDD[[#This Row],[Sortie]])+1)-2,1))))</f>
        <v>0</v>
      </c>
      <c r="BG96" s="38" t="str">
        <f>IF(Table_BDD[[#This Row],[Position]]="","",IF(Table_BDD[[#This Row],[Points]]&lt;-5,"--",IF(AND(Table_BDD[[#This Row],[Points]]&gt;=-5,Table_BDD[[#This Row],[Points]]&lt;-1.5),"-",IF(AND(Table_BDD[[#This Row],[Points]]&gt;=-1.5,Table_BDD[[#This Row],[Points]]&lt;1.5),"0",IF(AND(Table_BDD[[#This Row],[Points]]&gt;=1.5,Table_BDD[[#This Row],[Points]]&lt;=70),"+",IF(Table_BDD[[#This Row],[Points]]&gt;70,"++"))))))</f>
        <v>--</v>
      </c>
      <c r="BH96" s="37" t="str">
        <f>IF(Table_BDD[[#This Row],[Position]]="","",IF(Table_BDD[[#This Row],[Points]]&gt;0,"Gagnant",IF(Table_BDD[[#This Row],[Points]]=0,"Flat","Perdant")))</f>
        <v>Perdant</v>
      </c>
      <c r="BI96" s="40">
        <f>IF(Table_BDD[[#This Row],[Position]]="","",IF(Table_BDD[[#This Row],[Résultat]]="Gagnant",1,0))</f>
        <v>0</v>
      </c>
      <c r="BJ96" s="40">
        <f>IF(Table_BDD[[#This Row],[Position]]="","",IF(Table_BDD[[#This Row],[Résultat]]="Perdant",1,0))</f>
        <v>1</v>
      </c>
      <c r="BK96" s="40"/>
      <c r="BL96" s="145">
        <f>IF(Table_BDD[[#This Row],[T / P]]="","",Table_BDD[[#This Row],[T / P]])</f>
        <v>29531.97</v>
      </c>
      <c r="BM96" s="147"/>
      <c r="BN96" s="147"/>
      <c r="BO96" s="147"/>
      <c r="BP96" s="147"/>
      <c r="BQ96" s="127"/>
    </row>
    <row r="97" spans="1:69" x14ac:dyDescent="0.2">
      <c r="A97" s="93">
        <v>43873.483391203707</v>
      </c>
      <c r="B97" s="94">
        <v>259810788</v>
      </c>
      <c r="C97" s="37" t="s">
        <v>8</v>
      </c>
      <c r="D97" s="37" t="s">
        <v>9</v>
      </c>
      <c r="E97" s="37">
        <v>0.5</v>
      </c>
      <c r="F97" s="95">
        <v>29383.91</v>
      </c>
      <c r="G97" s="95">
        <v>29385.41</v>
      </c>
      <c r="H97" s="95">
        <v>29524.11</v>
      </c>
      <c r="I97" s="93">
        <v>43873.62462962963</v>
      </c>
      <c r="J97" s="95">
        <v>29424.03</v>
      </c>
      <c r="K97" s="95">
        <v>0</v>
      </c>
      <c r="L97" s="95">
        <v>0</v>
      </c>
      <c r="M97" s="32">
        <v>18.39</v>
      </c>
      <c r="N97" s="148">
        <f>IF(Table_BDD[[#This Row],[Position]]="","",ROW()-3)</f>
        <v>94</v>
      </c>
      <c r="O97" s="32">
        <f>SUM($L$4:M97)</f>
        <v>-65.179999999999964</v>
      </c>
      <c r="P97" s="32">
        <f>Table_BDD[[#This Row],[Equité avant trade]]+Table_BDD[[#This Row],[Profit]]+Table_BDD[[#This Row],[Echange]]</f>
        <v>934.82</v>
      </c>
      <c r="Q97" s="52">
        <f>INT(Table_BDD[[#This Row],[Horodatage cloture]])</f>
        <v>43873</v>
      </c>
      <c r="R97" s="34">
        <f>WEEKNUM(Table_BDD[[#This Row],[Horodatage cloture]],2)</f>
        <v>7</v>
      </c>
      <c r="S97" s="61">
        <f>WEEKDAY(Table_BDD[[#This Row],[Horodatage cloture]])</f>
        <v>4</v>
      </c>
      <c r="T97" s="63">
        <f>HOUR(Table_BDD[[#This Row],[Horodatage cloture]])</f>
        <v>14</v>
      </c>
      <c r="U97" s="68">
        <f>IF(Table_BDD[[#This Row],[Position]]="","",IF(Table_BDD[[#This Row],[Valeur début de journée unique]]&lt;&gt;0,1,0))</f>
        <v>0</v>
      </c>
      <c r="V97" s="68" t="str">
        <f>IF(Table_BDD[[#This Row],[Nb de séance de trading]]=1,COUNTIF(Table_BDD[Date],Table_BDD[[#This Row],[Date]]),"")</f>
        <v/>
      </c>
      <c r="W97" s="33">
        <f>IF(Table_BDD[[#This Row],[Position]]="","",IF(Table_BDD[[#This Row],[Type]]="buy",ROUND(Table_BDD[[#This Row],[Lvl Entrée]]-Table_BDD[[#This Row],[S / L]],1),ROUND(Table_BDD[[#This Row],[S / L]]-Table_BDD[[#This Row],[Lvl Entrée]],1)))</f>
        <v>-1.5</v>
      </c>
      <c r="X97" s="33">
        <f>IF(Table_BDD[[#This Row],[Position]]="","",IF(Table_BDD[[#This Row],[T / P]]=0,200,IF(Table_BDD[[#This Row],[Type]]="buy",ROUND(Table_BDD[[#This Row],[T / P]]-Table_BDD[[#This Row],[Lvl Entrée]],1),ROUND(Table_BDD[[#This Row],[Lvl Entrée]]-Table_BDD[[#This Row],[T / P]],1))))</f>
        <v>140.19999999999999</v>
      </c>
      <c r="Y97" s="34">
        <f>IF(Table_BDD[[#This Row],[Position]]="","",IF(Table_BDD[[#This Row],[Ecart du SL]]&gt;0,ROUND(ABS(Table_BDD[[#This Row],[Ecart du TP]])/ABS(Table_BDD[[#This Row],[Ecart du SL]]),1),ROUND(ABS(Table_BDD[[#This Row],[Ecart du TP]])/10,1)))</f>
        <v>14</v>
      </c>
      <c r="Z97" s="34">
        <f>IF(Table_BDD[[#This Row],[Position]]="","",IF(Table_BDD[[#This Row],[Ecart du SL]]&lt;0,IF(AND(Table_BDD[[#This Row],[Profit]]&gt;0,Table_BDD[[#This Row],[Type]]="sell"),ROUND((Table_BDD[[#This Row],[Lvl Entrée]]-Table_BDD[[#This Row],[Lvl Sortie]])/(10),1),IF(AND(Table_BDD[[#This Row],[Profit]]&gt;0,Table_BDD[[#This Row],[Type]]="buy"),ROUND((Table_BDD[[#This Row],[Lvl Sortie]]-Table_BDD[[#This Row],[Lvl Entrée]])/(10),1),)),IF(AND(Table_BDD[[#This Row],[Profit]]&gt;0,Table_BDD[[#This Row],[Type]]="sell"),ROUND((Table_BDD[[#This Row],[Lvl Entrée]]-Table_BDD[[#This Row],[Lvl Sortie]])/(Table_BDD[[#This Row],[S / L]]-Table_BDD[[#This Row],[Lvl Entrée]]),1),IF(AND(Table_BDD[[#This Row],[Profit]]&gt;0,Table_BDD[[#This Row],[Type]]="buy"),ROUND((Table_BDD[[#This Row],[Lvl Sortie]]-Table_BDD[[#This Row],[Lvl Entrée]])/(Table_BDD[[#This Row],[Lvl Entrée]]-Table_BDD[[#This Row],[S / L]]),1),ROUND(Table_BDD[[#This Row],[Points]]/10,1)))))</f>
        <v>4</v>
      </c>
      <c r="AA97" s="32">
        <f>IF(Table_BDD[[#This Row],[Position]]="",AA96,Table_BDD[[#This Row],[Equité après trade]]-Table_BDD[[#This Row],[Profit]]-Table_BDD[[#This Row],[Echange]])</f>
        <v>916.43000000000006</v>
      </c>
      <c r="AB97" s="149">
        <f>$B$1+SUM($L$4:M97)</f>
        <v>934.82</v>
      </c>
      <c r="AC97" s="150">
        <f>IF(Table_BDD[[#This Row],[Position]]="","",_xlfn.MINIFS(Table_BDD[Horodatage ouverture],Table_BDD[Date],Table_BDD[Date]))</f>
        <v>43873.478587962964</v>
      </c>
      <c r="AD97" s="149">
        <f>VLOOKUP(_xlfn.MINIFS(Table_BDD[Horodatage ouverture],Table_BDD[Date],Table_BDD[Date]),Table_BDD[[Horodatage ouverture]:[Heure derniere valeur]],AA$2)</f>
        <v>921.11</v>
      </c>
      <c r="AE97" s="149">
        <f>IF(VLOOKUP(_xlfn.MINIFS(Table_BDD[Horodatage ouverture],Table_BDD[Date],Table_BDD[Date]),Table_BDD[[Horodatage ouverture]:[Heure derniere valeur]],AA$2)=Table_BDD[[#This Row],[Equité avant trade]],VLOOKUP(_xlfn.MINIFS(Table_BDD[Horodatage ouverture],Table_BDD[Date],Table_BDD[Date]),Table_BDD[[Horodatage ouverture]:[Heure derniere valeur]],AA$2),0)</f>
        <v>0</v>
      </c>
      <c r="AF97" s="150">
        <f>IF(Table_BDD[[#This Row],[Position]]="","",_xlfn.MAXIFS(Table_BDD[Horodatage ouverture],Table_BDD[Date],Table_BDD[Date]))</f>
        <v>43873.688703703701</v>
      </c>
      <c r="AG97" s="32">
        <f>VLOOKUP(_xlfn.MAXIFS(Table_BDD[Horodatage cloture],Table_BDD[Date],Table_BDD[Date]),Table_BDD[[Horodatage ouverture]:[Heure derniere valeur]],AB$2)</f>
        <v>920.68000000000006</v>
      </c>
      <c r="AH97" s="32">
        <f>IF(VLOOKUP(_xlfn.MAXIFS(Table_BDD[Horodatage cloture],Table_BDD[Date],Table_BDD[Date]),Table_BDD[[Horodatage ouverture]:[Heure derniere valeur]],AB$2)=Table_BDD[[#This Row],[Equité après trade]],VLOOKUP(_xlfn.MAXIFS(Table_BDD[Horodatage cloture],Table_BDD[Date],Table_BDD[Date]),Table_BDD[[Horodatage ouverture]:[Heure derniere valeur]],AB$2),0)</f>
        <v>0</v>
      </c>
      <c r="AI97" s="32" t="e">
        <f>IF(Table_BDD[[#This Row],[Valeur fin de journée unique]]=0,#N/A,Table_BDD[[#This Row],[Valeur fin de journée unique]])</f>
        <v>#N/A</v>
      </c>
      <c r="AJ97" s="35">
        <f>IF(Table_BDD[[#This Row],[Position]]="","",(Table_BDD[[#This Row],[Equité après trade]]-Table_BDD[[#This Row],[Equité avant trade]])/Table_BDD[[#This Row],[Equité avant trade]])</f>
        <v>2.0066999116135423E-2</v>
      </c>
      <c r="AK97" s="35" t="str">
        <f>IFERROR(((INDEX(Table_BDD[[Trade n°]:[Valeur fin de journée unique]],Table_BDD[[#This Row],[Nb de trade du jour]]+Table_BDD[[#This Row],[Trade n°]]-1,21))-Table_BDD[[#This Row],[Valeur début de journée unique]])/Table_BDD[[#This Row],[Valeur début de journée unique]],"")</f>
        <v/>
      </c>
      <c r="AL97" s="32">
        <f>IF(Table_BDD[[#This Row],[Position]]="","",MAX(Table_BDD[[#This Row],[Cumul équité]],AL96))</f>
        <v>1052.8399999999999</v>
      </c>
      <c r="AM97" s="32">
        <f>IF(Table_BDD[[#This Row],[Position]]="","",MIN(Table_BDD[[#This Row],[Cumul équité]],AL96))</f>
        <v>934.82</v>
      </c>
      <c r="AN97" s="97">
        <f>IF(Table_BDD[[#This Row],[Sommet Drawdown]]&gt;AL96,"",Table_BDD[[#This Row],[Creux Drawdown]]/Table_BDD[[#This Row],[Sommet Drawdown]]-1)</f>
        <v>-0.11209680483264306</v>
      </c>
      <c r="AO97" s="36">
        <f>IF(Table_BDD[[#This Row],[Position]]="","",IF(Table_BDD[[#This Row],[Type]]="buy",ROUND(Table_BDD[[#This Row],[Lvl Sortie]]-Table_BDD[[#This Row],[Lvl Entrée]],1),ROUND(Table_BDD[[#This Row],[Lvl Entrée]]-Table_BDD[[#This Row],[Lvl Sortie]],1)))</f>
        <v>40.1</v>
      </c>
      <c r="AP97" s="36">
        <f>IF(Table_BDD[[#This Row],[Points]]&gt;0,Table_BDD[[#This Row],[Points]],"")</f>
        <v>40.1</v>
      </c>
      <c r="AQ97" s="36" t="str">
        <f>IF(Table_BDD[[#This Row],[Points]]&lt;0,Table_BDD[[#This Row],[Points]],"")</f>
        <v/>
      </c>
      <c r="AR97" s="36">
        <f>SUM($AO$4:AO97)</f>
        <v>-142.29999999999998</v>
      </c>
      <c r="AS97" s="68">
        <f>IF(Table_BDD[[#This Row],[Position]]="","",IF(Table_BDD[[#This Row],[Conformité]]="Conforme",1,0))</f>
        <v>0</v>
      </c>
      <c r="AT97" s="68">
        <f>IF(Table_BDD[[#This Row],[Position]]="","",IF(Table_BDD[[#This Row],[Conformité]]="Non conforme",1,0))</f>
        <v>1</v>
      </c>
      <c r="AU97" s="37" t="s">
        <v>17</v>
      </c>
      <c r="AV97" s="37"/>
      <c r="AW97" s="37"/>
      <c r="AX97" s="37">
        <v>0</v>
      </c>
      <c r="AY97" s="37">
        <v>0</v>
      </c>
      <c r="AZ97" s="37">
        <v>0</v>
      </c>
      <c r="BA97" s="40" t="str">
        <f>IF(Table_BDD[[#This Row],[Position]]="","Sans objet",IF(AND(Table_BDD[[#This Row],[Type]]="sell",Table_BDD[[#This Row],[S / L]]&lt;Table_BDD[[#This Row],[Lvl Entrée]],Table_BDD[[#This Row],[Lvl Sortie]]&lt;=Table_BDD[[#This Row],[S / L]]+2,Table_BDD[[#This Row],[Lvl Sortie]]&lt;Table_BDD[[#This Row],[Lvl Entrée]]-19),"Oui",IF(AND(Table_BDD[[#This Row],[Type]]="buy",Table_BDD[[#This Row],[S / L]]&gt;Table_BDD[[#This Row],[Lvl Entrée]],Table_BDD[[#This Row],[Lvl Sortie]]&gt;=Table_BDD[[#This Row],[S / L]]-2,Table_BDD[[#This Row],[S / L]]&gt;Table_BDD[[#This Row],[Lvl Entrée]]+19),"Oui","Non")))</f>
        <v>Non</v>
      </c>
      <c r="BB97" s="40" t="str">
        <f>IF(Table_BDD[[#This Row],[Position]]="","Sans objet",IF(AND(Table_BDD[[#This Row],[Type]]="sell",Table_BDD[[#This Row],[S / L]]&lt;Table_BDD[[#This Row],[Lvl Entrée]],Table_BDD[[#This Row],[Points]]&gt;=-1),"Oui",IF(AND(Table_BDD[[#This Row],[Type]]="sell",Table_BDD[[#This Row],[S / L]]&gt;Table_BDD[[#This Row],[Lvl Entrée]]),"Non",IF(AND(Table_BDD[[#This Row],[Type]]="buy",Table_BDD[[#This Row],[S / L]]&lt;Table_BDD[[#This Row],[Lvl Entrée]]),"Non",IF(AND(Table_BDD[[#This Row],[Type]]="buy",Table_BDD[[#This Row],[S / L]]&gt;Table_BDD[[#This Row],[Lvl Entrée]],Table_BDD[[#This Row],[Points]]&gt;=-1),"Oui")))))</f>
        <v>Oui</v>
      </c>
      <c r="BC97" s="40" t="str">
        <f>IF(Table_BDD[[#This Row],[Position]]="","Sans objet",IF(Table_BDD[[#This Row],[T / P]]="","Non",IF(AND(Table_BDD[[#This Row],[Type]]="sell",Table_BDD[[#This Row],[Lvl Sortie]]&lt;=Table_BDD[[#This Row],[T / P]]),"Oui",IF(AND(Table_BDD[[#This Row],[Type]]="buy",Table_BDD[[#This Row],[Lvl Sortie]]&gt;=Table_BDD[[#This Row],[T / P]]),"Oui","Non"))))</f>
        <v>Non</v>
      </c>
      <c r="BD97" s="91">
        <f t="array" ref="BD97">IFERROR(INDEX(downloadFile[#All],MATCH(Table_BDD[[#This Row],[Date]],downloadFile[[#All],[Column1]],0),2),BD96)</f>
        <v>1.0913999999999999</v>
      </c>
      <c r="BE97" s="89">
        <f>IF(Table_BDD[[#This Row],[Position]]="","",IF(Table_BDD[[#This Row],[Symbole]]="UsaInd",(Table_BDD[[#This Row],[Volume]]*Table_BDD[[#This Row],[Lvl Entrée]])/(Table_BDD[[#This Row],[Equité avant trade]]*Table_BDD[[#This Row],[EUR/USD]]),IF(Table_BDD[[#This Row],[Symbole]]="Ger30",(Table_BDD[[#This Row],[Volume]]*Table_BDD[[#This Row],[Lvl Entrée]])/Table_BDD[[#This Row],[Equité avant trade]],)))</f>
        <v>14.68913906266341</v>
      </c>
      <c r="BF97" s="38">
        <f>IF(Table_BDD[[#This Row],[Position]]="","",IF(Table_BDD[[#This Row],[Conformité]]="Non conforme",0,(MROUND(3*((Table_BDD[[#This Row],[Conviction]]+Table_BDD[[#This Row],[Timing]]+Table_BDD[[#This Row],[Sortie]])+1)-2,1))))</f>
        <v>0</v>
      </c>
      <c r="BG97" s="38" t="str">
        <f>IF(Table_BDD[[#This Row],[Position]]="","",IF(Table_BDD[[#This Row],[Points]]&lt;-5,"--",IF(AND(Table_BDD[[#This Row],[Points]]&gt;=-5,Table_BDD[[#This Row],[Points]]&lt;-1.5),"-",IF(AND(Table_BDD[[#This Row],[Points]]&gt;=-1.5,Table_BDD[[#This Row],[Points]]&lt;1.5),"0",IF(AND(Table_BDD[[#This Row],[Points]]&gt;=1.5,Table_BDD[[#This Row],[Points]]&lt;=70),"+",IF(Table_BDD[[#This Row],[Points]]&gt;70,"++"))))))</f>
        <v>+</v>
      </c>
      <c r="BH97" s="37" t="str">
        <f>IF(Table_BDD[[#This Row],[Position]]="","",IF(Table_BDD[[#This Row],[Points]]&gt;0,"Gagnant",IF(Table_BDD[[#This Row],[Points]]=0,"Flat","Perdant")))</f>
        <v>Gagnant</v>
      </c>
      <c r="BI97" s="40">
        <f>IF(Table_BDD[[#This Row],[Position]]="","",IF(Table_BDD[[#This Row],[Résultat]]="Gagnant",1,0))</f>
        <v>1</v>
      </c>
      <c r="BJ97" s="40">
        <f>IF(Table_BDD[[#This Row],[Position]]="","",IF(Table_BDD[[#This Row],[Résultat]]="Perdant",1,0))</f>
        <v>0</v>
      </c>
      <c r="BK97" s="40"/>
      <c r="BL97" s="145">
        <f>IF(Table_BDD[[#This Row],[T / P]]="","",Table_BDD[[#This Row],[T / P]])</f>
        <v>29524.11</v>
      </c>
      <c r="BM97" s="147"/>
      <c r="BN97" s="147"/>
      <c r="BO97" s="147"/>
      <c r="BP97" s="147"/>
      <c r="BQ97" s="127"/>
    </row>
    <row r="98" spans="1:69" x14ac:dyDescent="0.2">
      <c r="A98" s="93">
        <v>43873.682187500002</v>
      </c>
      <c r="B98" s="94">
        <v>259830163</v>
      </c>
      <c r="C98" s="37" t="s">
        <v>8</v>
      </c>
      <c r="D98" s="37" t="s">
        <v>10</v>
      </c>
      <c r="E98" s="37">
        <v>0.5</v>
      </c>
      <c r="F98" s="95">
        <v>29484.06</v>
      </c>
      <c r="G98" s="95">
        <v>29495.07</v>
      </c>
      <c r="H98" s="95"/>
      <c r="I98" s="93">
        <v>43873.68304398148</v>
      </c>
      <c r="J98" s="95">
        <v>29495.13</v>
      </c>
      <c r="K98" s="95">
        <v>0</v>
      </c>
      <c r="L98" s="95">
        <v>0</v>
      </c>
      <c r="M98" s="32">
        <v>-5.09</v>
      </c>
      <c r="N98" s="148">
        <f>IF(Table_BDD[[#This Row],[Position]]="","",ROW()-3)</f>
        <v>95</v>
      </c>
      <c r="O98" s="32">
        <f>SUM($L$4:M98)</f>
        <v>-70.269999999999968</v>
      </c>
      <c r="P98" s="32">
        <f>Table_BDD[[#This Row],[Equité avant trade]]+Table_BDD[[#This Row],[Profit]]+Table_BDD[[#This Row],[Echange]]</f>
        <v>929.73</v>
      </c>
      <c r="Q98" s="52">
        <f>INT(Table_BDD[[#This Row],[Horodatage cloture]])</f>
        <v>43873</v>
      </c>
      <c r="R98" s="34">
        <f>WEEKNUM(Table_BDD[[#This Row],[Horodatage cloture]],2)</f>
        <v>7</v>
      </c>
      <c r="S98" s="61">
        <f>WEEKDAY(Table_BDD[[#This Row],[Horodatage cloture]])</f>
        <v>4</v>
      </c>
      <c r="T98" s="63">
        <f>HOUR(Table_BDD[[#This Row],[Horodatage cloture]])</f>
        <v>16</v>
      </c>
      <c r="U98" s="68">
        <f>IF(Table_BDD[[#This Row],[Position]]="","",IF(Table_BDD[[#This Row],[Valeur début de journée unique]]&lt;&gt;0,1,0))</f>
        <v>0</v>
      </c>
      <c r="V98" s="68" t="str">
        <f>IF(Table_BDD[[#This Row],[Nb de séance de trading]]=1,COUNTIF(Table_BDD[Date],Table_BDD[[#This Row],[Date]]),"")</f>
        <v/>
      </c>
      <c r="W98" s="33">
        <f>IF(Table_BDD[[#This Row],[Position]]="","",IF(Table_BDD[[#This Row],[Type]]="buy",ROUND(Table_BDD[[#This Row],[Lvl Entrée]]-Table_BDD[[#This Row],[S / L]],1),ROUND(Table_BDD[[#This Row],[S / L]]-Table_BDD[[#This Row],[Lvl Entrée]],1)))</f>
        <v>11</v>
      </c>
      <c r="X98" s="33">
        <f>IF(Table_BDD[[#This Row],[Position]]="","",IF(Table_BDD[[#This Row],[T / P]]=0,200,IF(Table_BDD[[#This Row],[Type]]="buy",ROUND(Table_BDD[[#This Row],[T / P]]-Table_BDD[[#This Row],[Lvl Entrée]],1),ROUND(Table_BDD[[#This Row],[Lvl Entrée]]-Table_BDD[[#This Row],[T / P]],1))))</f>
        <v>200</v>
      </c>
      <c r="Y98" s="34">
        <f>IF(Table_BDD[[#This Row],[Position]]="","",IF(Table_BDD[[#This Row],[Ecart du SL]]&gt;0,ROUND(ABS(Table_BDD[[#This Row],[Ecart du TP]])/ABS(Table_BDD[[#This Row],[Ecart du SL]]),1),ROUND(ABS(Table_BDD[[#This Row],[Ecart du TP]])/10,1)))</f>
        <v>18.2</v>
      </c>
      <c r="Z98" s="34">
        <f>IF(Table_BDD[[#This Row],[Position]]="","",IF(Table_BDD[[#This Row],[Ecart du SL]]&lt;0,IF(AND(Table_BDD[[#This Row],[Profit]]&gt;0,Table_BDD[[#This Row],[Type]]="sell"),ROUND((Table_BDD[[#This Row],[Lvl Entrée]]-Table_BDD[[#This Row],[Lvl Sortie]])/(10),1),IF(AND(Table_BDD[[#This Row],[Profit]]&gt;0,Table_BDD[[#This Row],[Type]]="buy"),ROUND((Table_BDD[[#This Row],[Lvl Sortie]]-Table_BDD[[#This Row],[Lvl Entrée]])/(10),1),)),IF(AND(Table_BDD[[#This Row],[Profit]]&gt;0,Table_BDD[[#This Row],[Type]]="sell"),ROUND((Table_BDD[[#This Row],[Lvl Entrée]]-Table_BDD[[#This Row],[Lvl Sortie]])/(Table_BDD[[#This Row],[S / L]]-Table_BDD[[#This Row],[Lvl Entrée]]),1),IF(AND(Table_BDD[[#This Row],[Profit]]&gt;0,Table_BDD[[#This Row],[Type]]="buy"),ROUND((Table_BDD[[#This Row],[Lvl Sortie]]-Table_BDD[[#This Row],[Lvl Entrée]])/(Table_BDD[[#This Row],[Lvl Entrée]]-Table_BDD[[#This Row],[S / L]]),1),ROUND(Table_BDD[[#This Row],[Points]]/10,1)))))</f>
        <v>-1.1000000000000001</v>
      </c>
      <c r="AA98" s="32">
        <f>IF(Table_BDD[[#This Row],[Position]]="",AA97,Table_BDD[[#This Row],[Equité après trade]]-Table_BDD[[#This Row],[Profit]]-Table_BDD[[#This Row],[Echange]])</f>
        <v>934.82</v>
      </c>
      <c r="AB98" s="149">
        <f>$B$1+SUM($L$4:M98)</f>
        <v>929.73</v>
      </c>
      <c r="AC98" s="150">
        <f>IF(Table_BDD[[#This Row],[Position]]="","",_xlfn.MINIFS(Table_BDD[Horodatage ouverture],Table_BDD[Date],Table_BDD[Date]))</f>
        <v>43873.478587962964</v>
      </c>
      <c r="AD98" s="149">
        <f>VLOOKUP(_xlfn.MINIFS(Table_BDD[Horodatage ouverture],Table_BDD[Date],Table_BDD[Date]),Table_BDD[[Horodatage ouverture]:[Heure derniere valeur]],AA$2)</f>
        <v>921.11</v>
      </c>
      <c r="AE98" s="149">
        <f>IF(VLOOKUP(_xlfn.MINIFS(Table_BDD[Horodatage ouverture],Table_BDD[Date],Table_BDD[Date]),Table_BDD[[Horodatage ouverture]:[Heure derniere valeur]],AA$2)=Table_BDD[[#This Row],[Equité avant trade]],VLOOKUP(_xlfn.MINIFS(Table_BDD[Horodatage ouverture],Table_BDD[Date],Table_BDD[Date]),Table_BDD[[Horodatage ouverture]:[Heure derniere valeur]],AA$2),0)</f>
        <v>0</v>
      </c>
      <c r="AF98" s="150">
        <f>IF(Table_BDD[[#This Row],[Position]]="","",_xlfn.MAXIFS(Table_BDD[Horodatage ouverture],Table_BDD[Date],Table_BDD[Date]))</f>
        <v>43873.688703703701</v>
      </c>
      <c r="AG98" s="32">
        <f>VLOOKUP(_xlfn.MAXIFS(Table_BDD[Horodatage cloture],Table_BDD[Date],Table_BDD[Date]),Table_BDD[[Horodatage ouverture]:[Heure derniere valeur]],AB$2)</f>
        <v>920.68000000000006</v>
      </c>
      <c r="AH98" s="32">
        <f>IF(VLOOKUP(_xlfn.MAXIFS(Table_BDD[Horodatage cloture],Table_BDD[Date],Table_BDD[Date]),Table_BDD[[Horodatage ouverture]:[Heure derniere valeur]],AB$2)=Table_BDD[[#This Row],[Equité après trade]],VLOOKUP(_xlfn.MAXIFS(Table_BDD[Horodatage cloture],Table_BDD[Date],Table_BDD[Date]),Table_BDD[[Horodatage ouverture]:[Heure derniere valeur]],AB$2),0)</f>
        <v>0</v>
      </c>
      <c r="AI98" s="32" t="e">
        <f>IF(Table_BDD[[#This Row],[Valeur fin de journée unique]]=0,#N/A,Table_BDD[[#This Row],[Valeur fin de journée unique]])</f>
        <v>#N/A</v>
      </c>
      <c r="AJ98" s="35">
        <f>IF(Table_BDD[[#This Row],[Position]]="","",(Table_BDD[[#This Row],[Equité après trade]]-Table_BDD[[#This Row],[Equité avant trade]])/Table_BDD[[#This Row],[Equité avant trade]])</f>
        <v>-5.4448984831304758E-3</v>
      </c>
      <c r="AK98" s="35" t="str">
        <f>IFERROR(((INDEX(Table_BDD[[Trade n°]:[Valeur fin de journée unique]],Table_BDD[[#This Row],[Nb de trade du jour]]+Table_BDD[[#This Row],[Trade n°]]-1,21))-Table_BDD[[#This Row],[Valeur début de journée unique]])/Table_BDD[[#This Row],[Valeur début de journée unique]],"")</f>
        <v/>
      </c>
      <c r="AL98" s="32">
        <f>IF(Table_BDD[[#This Row],[Position]]="","",MAX(Table_BDD[[#This Row],[Cumul équité]],AL97))</f>
        <v>1052.8399999999999</v>
      </c>
      <c r="AM98" s="32">
        <f>IF(Table_BDD[[#This Row],[Position]]="","",MIN(Table_BDD[[#This Row],[Cumul équité]],AL97))</f>
        <v>929.73</v>
      </c>
      <c r="AN98" s="97">
        <f>IF(Table_BDD[[#This Row],[Sommet Drawdown]]&gt;AL97,"",Table_BDD[[#This Row],[Creux Drawdown]]/Table_BDD[[#This Row],[Sommet Drawdown]]-1)</f>
        <v>-0.11693134759317647</v>
      </c>
      <c r="AO98" s="36">
        <f>IF(Table_BDD[[#This Row],[Position]]="","",IF(Table_BDD[[#This Row],[Type]]="buy",ROUND(Table_BDD[[#This Row],[Lvl Sortie]]-Table_BDD[[#This Row],[Lvl Entrée]],1),ROUND(Table_BDD[[#This Row],[Lvl Entrée]]-Table_BDD[[#This Row],[Lvl Sortie]],1)))</f>
        <v>-11.1</v>
      </c>
      <c r="AP98" s="36" t="str">
        <f>IF(Table_BDD[[#This Row],[Points]]&gt;0,Table_BDD[[#This Row],[Points]],"")</f>
        <v/>
      </c>
      <c r="AQ98" s="36">
        <f>IF(Table_BDD[[#This Row],[Points]]&lt;0,Table_BDD[[#This Row],[Points]],"")</f>
        <v>-11.1</v>
      </c>
      <c r="AR98" s="36">
        <f>SUM($AO$4:AO98)</f>
        <v>-153.39999999999998</v>
      </c>
      <c r="AS98" s="68">
        <f>IF(Table_BDD[[#This Row],[Position]]="","",IF(Table_BDD[[#This Row],[Conformité]]="Conforme",1,0))</f>
        <v>0</v>
      </c>
      <c r="AT98" s="68">
        <f>IF(Table_BDD[[#This Row],[Position]]="","",IF(Table_BDD[[#This Row],[Conformité]]="Non conforme",1,0))</f>
        <v>1</v>
      </c>
      <c r="AU98" s="37" t="s">
        <v>17</v>
      </c>
      <c r="AV98" s="37"/>
      <c r="AW98" s="37"/>
      <c r="AX98" s="37">
        <v>0</v>
      </c>
      <c r="AY98" s="37">
        <v>0</v>
      </c>
      <c r="AZ98" s="37">
        <v>0</v>
      </c>
      <c r="BA98" s="40" t="str">
        <f>IF(Table_BDD[[#This Row],[Position]]="","Sans objet",IF(AND(Table_BDD[[#This Row],[Type]]="sell",Table_BDD[[#This Row],[S / L]]&lt;Table_BDD[[#This Row],[Lvl Entrée]],Table_BDD[[#This Row],[Lvl Sortie]]&lt;=Table_BDD[[#This Row],[S / L]]+2,Table_BDD[[#This Row],[Lvl Sortie]]&lt;Table_BDD[[#This Row],[Lvl Entrée]]-19),"Oui",IF(AND(Table_BDD[[#This Row],[Type]]="buy",Table_BDD[[#This Row],[S / L]]&gt;Table_BDD[[#This Row],[Lvl Entrée]],Table_BDD[[#This Row],[Lvl Sortie]]&gt;=Table_BDD[[#This Row],[S / L]]-2,Table_BDD[[#This Row],[S / L]]&gt;Table_BDD[[#This Row],[Lvl Entrée]]+19),"Oui","Non")))</f>
        <v>Non</v>
      </c>
      <c r="BB98" s="40" t="str">
        <f>IF(Table_BDD[[#This Row],[Position]]="","Sans objet",IF(AND(Table_BDD[[#This Row],[Type]]="sell",Table_BDD[[#This Row],[S / L]]&lt;Table_BDD[[#This Row],[Lvl Entrée]],Table_BDD[[#This Row],[Points]]&gt;=-1),"Oui",IF(AND(Table_BDD[[#This Row],[Type]]="sell",Table_BDD[[#This Row],[S / L]]&gt;Table_BDD[[#This Row],[Lvl Entrée]]),"Non",IF(AND(Table_BDD[[#This Row],[Type]]="buy",Table_BDD[[#This Row],[S / L]]&lt;Table_BDD[[#This Row],[Lvl Entrée]]),"Non",IF(AND(Table_BDD[[#This Row],[Type]]="buy",Table_BDD[[#This Row],[S / L]]&gt;Table_BDD[[#This Row],[Lvl Entrée]],Table_BDD[[#This Row],[Points]]&gt;=-1),"Oui")))))</f>
        <v>Non</v>
      </c>
      <c r="BC98" s="40" t="str">
        <f>IF(Table_BDD[[#This Row],[Position]]="","Sans objet",IF(Table_BDD[[#This Row],[T / P]]="","Non",IF(AND(Table_BDD[[#This Row],[Type]]="sell",Table_BDD[[#This Row],[Lvl Sortie]]&lt;=Table_BDD[[#This Row],[T / P]]),"Oui",IF(AND(Table_BDD[[#This Row],[Type]]="buy",Table_BDD[[#This Row],[Lvl Sortie]]&gt;=Table_BDD[[#This Row],[T / P]]),"Oui","Non"))))</f>
        <v>Non</v>
      </c>
      <c r="BD98" s="91">
        <f t="array" ref="BD98">IFERROR(INDEX(downloadFile[#All],MATCH(Table_BDD[[#This Row],[Date]],downloadFile[[#All],[Column1]],0),2),BD97)</f>
        <v>1.0913999999999999</v>
      </c>
      <c r="BE98" s="89">
        <f>IF(Table_BDD[[#This Row],[Position]]="","",IF(Table_BDD[[#This Row],[Symbole]]="UsaInd",(Table_BDD[[#This Row],[Volume]]*Table_BDD[[#This Row],[Lvl Entrée]])/(Table_BDD[[#This Row],[Equité avant trade]]*Table_BDD[[#This Row],[EUR/USD]]),IF(Table_BDD[[#This Row],[Symbole]]="Ger30",(Table_BDD[[#This Row],[Volume]]*Table_BDD[[#This Row],[Lvl Entrée]])/Table_BDD[[#This Row],[Equité avant trade]],)))</f>
        <v>14.449251350937564</v>
      </c>
      <c r="BF98" s="38">
        <f>IF(Table_BDD[[#This Row],[Position]]="","",IF(Table_BDD[[#This Row],[Conformité]]="Non conforme",0,(MROUND(3*((Table_BDD[[#This Row],[Conviction]]+Table_BDD[[#This Row],[Timing]]+Table_BDD[[#This Row],[Sortie]])+1)-2,1))))</f>
        <v>0</v>
      </c>
      <c r="BG98" s="38" t="str">
        <f>IF(Table_BDD[[#This Row],[Position]]="","",IF(Table_BDD[[#This Row],[Points]]&lt;-5,"--",IF(AND(Table_BDD[[#This Row],[Points]]&gt;=-5,Table_BDD[[#This Row],[Points]]&lt;-1.5),"-",IF(AND(Table_BDD[[#This Row],[Points]]&gt;=-1.5,Table_BDD[[#This Row],[Points]]&lt;1.5),"0",IF(AND(Table_BDD[[#This Row],[Points]]&gt;=1.5,Table_BDD[[#This Row],[Points]]&lt;=70),"+",IF(Table_BDD[[#This Row],[Points]]&gt;70,"++"))))))</f>
        <v>--</v>
      </c>
      <c r="BH98" s="37" t="str">
        <f>IF(Table_BDD[[#This Row],[Position]]="","",IF(Table_BDD[[#This Row],[Points]]&gt;0,"Gagnant",IF(Table_BDD[[#This Row],[Points]]=0,"Flat","Perdant")))</f>
        <v>Perdant</v>
      </c>
      <c r="BI98" s="40">
        <f>IF(Table_BDD[[#This Row],[Position]]="","",IF(Table_BDD[[#This Row],[Résultat]]="Gagnant",1,0))</f>
        <v>0</v>
      </c>
      <c r="BJ98" s="40">
        <f>IF(Table_BDD[[#This Row],[Position]]="","",IF(Table_BDD[[#This Row],[Résultat]]="Perdant",1,0))</f>
        <v>1</v>
      </c>
      <c r="BK98" s="40"/>
      <c r="BL98" s="145" t="str">
        <f>IF(Table_BDD[[#This Row],[T / P]]="","",Table_BDD[[#This Row],[T / P]])</f>
        <v/>
      </c>
      <c r="BM98" s="147"/>
      <c r="BN98" s="147"/>
      <c r="BO98" s="147"/>
      <c r="BP98" s="147"/>
      <c r="BQ98" s="127"/>
    </row>
    <row r="99" spans="1:69" x14ac:dyDescent="0.2">
      <c r="A99" s="93">
        <v>43873.683125000003</v>
      </c>
      <c r="B99" s="94">
        <v>259830299</v>
      </c>
      <c r="C99" s="37" t="s">
        <v>8</v>
      </c>
      <c r="D99" s="37" t="s">
        <v>10</v>
      </c>
      <c r="E99" s="37">
        <v>0.5</v>
      </c>
      <c r="F99" s="95">
        <v>29492.97</v>
      </c>
      <c r="G99" s="95">
        <v>29503.25</v>
      </c>
      <c r="H99" s="95"/>
      <c r="I99" s="93">
        <v>43873.683356481481</v>
      </c>
      <c r="J99" s="95">
        <v>29503.34</v>
      </c>
      <c r="K99" s="95">
        <v>0</v>
      </c>
      <c r="L99" s="95">
        <v>0</v>
      </c>
      <c r="M99" s="32">
        <v>-4.7699999999999996</v>
      </c>
      <c r="N99" s="148">
        <f>IF(Table_BDD[[#This Row],[Position]]="","",ROW()-3)</f>
        <v>96</v>
      </c>
      <c r="O99" s="32">
        <f>SUM($L$4:M99)</f>
        <v>-75.039999999999964</v>
      </c>
      <c r="P99" s="32">
        <f>Table_BDD[[#This Row],[Equité avant trade]]+Table_BDD[[#This Row],[Profit]]+Table_BDD[[#This Row],[Echange]]</f>
        <v>924.96</v>
      </c>
      <c r="Q99" s="52">
        <f>INT(Table_BDD[[#This Row],[Horodatage cloture]])</f>
        <v>43873</v>
      </c>
      <c r="R99" s="34">
        <f>WEEKNUM(Table_BDD[[#This Row],[Horodatage cloture]],2)</f>
        <v>7</v>
      </c>
      <c r="S99" s="61">
        <f>WEEKDAY(Table_BDD[[#This Row],[Horodatage cloture]])</f>
        <v>4</v>
      </c>
      <c r="T99" s="63">
        <f>HOUR(Table_BDD[[#This Row],[Horodatage cloture]])</f>
        <v>16</v>
      </c>
      <c r="U99" s="68">
        <f>IF(Table_BDD[[#This Row],[Position]]="","",IF(Table_BDD[[#This Row],[Valeur début de journée unique]]&lt;&gt;0,1,0))</f>
        <v>0</v>
      </c>
      <c r="V99" s="68" t="str">
        <f>IF(Table_BDD[[#This Row],[Nb de séance de trading]]=1,COUNTIF(Table_BDD[Date],Table_BDD[[#This Row],[Date]]),"")</f>
        <v/>
      </c>
      <c r="W99" s="33">
        <f>IF(Table_BDD[[#This Row],[Position]]="","",IF(Table_BDD[[#This Row],[Type]]="buy",ROUND(Table_BDD[[#This Row],[Lvl Entrée]]-Table_BDD[[#This Row],[S / L]],1),ROUND(Table_BDD[[#This Row],[S / L]]-Table_BDD[[#This Row],[Lvl Entrée]],1)))</f>
        <v>10.3</v>
      </c>
      <c r="X99" s="33">
        <f>IF(Table_BDD[[#This Row],[Position]]="","",IF(Table_BDD[[#This Row],[T / P]]=0,200,IF(Table_BDD[[#This Row],[Type]]="buy",ROUND(Table_BDD[[#This Row],[T / P]]-Table_BDD[[#This Row],[Lvl Entrée]],1),ROUND(Table_BDD[[#This Row],[Lvl Entrée]]-Table_BDD[[#This Row],[T / P]],1))))</f>
        <v>200</v>
      </c>
      <c r="Y99" s="34">
        <f>IF(Table_BDD[[#This Row],[Position]]="","",IF(Table_BDD[[#This Row],[Ecart du SL]]&gt;0,ROUND(ABS(Table_BDD[[#This Row],[Ecart du TP]])/ABS(Table_BDD[[#This Row],[Ecart du SL]]),1),ROUND(ABS(Table_BDD[[#This Row],[Ecart du TP]])/10,1)))</f>
        <v>19.399999999999999</v>
      </c>
      <c r="Z99" s="34">
        <f>IF(Table_BDD[[#This Row],[Position]]="","",IF(Table_BDD[[#This Row],[Ecart du SL]]&lt;0,IF(AND(Table_BDD[[#This Row],[Profit]]&gt;0,Table_BDD[[#This Row],[Type]]="sell"),ROUND((Table_BDD[[#This Row],[Lvl Entrée]]-Table_BDD[[#This Row],[Lvl Sortie]])/(10),1),IF(AND(Table_BDD[[#This Row],[Profit]]&gt;0,Table_BDD[[#This Row],[Type]]="buy"),ROUND((Table_BDD[[#This Row],[Lvl Sortie]]-Table_BDD[[#This Row],[Lvl Entrée]])/(10),1),)),IF(AND(Table_BDD[[#This Row],[Profit]]&gt;0,Table_BDD[[#This Row],[Type]]="sell"),ROUND((Table_BDD[[#This Row],[Lvl Entrée]]-Table_BDD[[#This Row],[Lvl Sortie]])/(Table_BDD[[#This Row],[S / L]]-Table_BDD[[#This Row],[Lvl Entrée]]),1),IF(AND(Table_BDD[[#This Row],[Profit]]&gt;0,Table_BDD[[#This Row],[Type]]="buy"),ROUND((Table_BDD[[#This Row],[Lvl Sortie]]-Table_BDD[[#This Row],[Lvl Entrée]])/(Table_BDD[[#This Row],[Lvl Entrée]]-Table_BDD[[#This Row],[S / L]]),1),ROUND(Table_BDD[[#This Row],[Points]]/10,1)))))</f>
        <v>-1</v>
      </c>
      <c r="AA99" s="32">
        <f>IF(Table_BDD[[#This Row],[Position]]="",AA98,Table_BDD[[#This Row],[Equité après trade]]-Table_BDD[[#This Row],[Profit]]-Table_BDD[[#This Row],[Echange]])</f>
        <v>929.73</v>
      </c>
      <c r="AB99" s="149">
        <f>$B$1+SUM($L$4:M99)</f>
        <v>924.96</v>
      </c>
      <c r="AC99" s="150">
        <f>IF(Table_BDD[[#This Row],[Position]]="","",_xlfn.MINIFS(Table_BDD[Horodatage ouverture],Table_BDD[Date],Table_BDD[Date]))</f>
        <v>43873.478587962964</v>
      </c>
      <c r="AD99" s="149">
        <f>VLOOKUP(_xlfn.MINIFS(Table_BDD[Horodatage ouverture],Table_BDD[Date],Table_BDD[Date]),Table_BDD[[Horodatage ouverture]:[Heure derniere valeur]],AA$2)</f>
        <v>921.11</v>
      </c>
      <c r="AE99" s="149">
        <f>IF(VLOOKUP(_xlfn.MINIFS(Table_BDD[Horodatage ouverture],Table_BDD[Date],Table_BDD[Date]),Table_BDD[[Horodatage ouverture]:[Heure derniere valeur]],AA$2)=Table_BDD[[#This Row],[Equité avant trade]],VLOOKUP(_xlfn.MINIFS(Table_BDD[Horodatage ouverture],Table_BDD[Date],Table_BDD[Date]),Table_BDD[[Horodatage ouverture]:[Heure derniere valeur]],AA$2),0)</f>
        <v>0</v>
      </c>
      <c r="AF99" s="150">
        <f>IF(Table_BDD[[#This Row],[Position]]="","",_xlfn.MAXIFS(Table_BDD[Horodatage ouverture],Table_BDD[Date],Table_BDD[Date]))</f>
        <v>43873.688703703701</v>
      </c>
      <c r="AG99" s="32">
        <f>VLOOKUP(_xlfn.MAXIFS(Table_BDD[Horodatage cloture],Table_BDD[Date],Table_BDD[Date]),Table_BDD[[Horodatage ouverture]:[Heure derniere valeur]],AB$2)</f>
        <v>920.68000000000006</v>
      </c>
      <c r="AH99" s="32">
        <f>IF(VLOOKUP(_xlfn.MAXIFS(Table_BDD[Horodatage cloture],Table_BDD[Date],Table_BDD[Date]),Table_BDD[[Horodatage ouverture]:[Heure derniere valeur]],AB$2)=Table_BDD[[#This Row],[Equité après trade]],VLOOKUP(_xlfn.MAXIFS(Table_BDD[Horodatage cloture],Table_BDD[Date],Table_BDD[Date]),Table_BDD[[Horodatage ouverture]:[Heure derniere valeur]],AB$2),0)</f>
        <v>0</v>
      </c>
      <c r="AI99" s="32" t="e">
        <f>IF(Table_BDD[[#This Row],[Valeur fin de journée unique]]=0,#N/A,Table_BDD[[#This Row],[Valeur fin de journée unique]])</f>
        <v>#N/A</v>
      </c>
      <c r="AJ99" s="35">
        <f>IF(Table_BDD[[#This Row],[Position]]="","",(Table_BDD[[#This Row],[Equité après trade]]-Table_BDD[[#This Row],[Equité avant trade]])/Table_BDD[[#This Row],[Equité avant trade]])</f>
        <v>-5.1305217643831886E-3</v>
      </c>
      <c r="AK99" s="35" t="str">
        <f>IFERROR(((INDEX(Table_BDD[[Trade n°]:[Valeur fin de journée unique]],Table_BDD[[#This Row],[Nb de trade du jour]]+Table_BDD[[#This Row],[Trade n°]]-1,21))-Table_BDD[[#This Row],[Valeur début de journée unique]])/Table_BDD[[#This Row],[Valeur début de journée unique]],"")</f>
        <v/>
      </c>
      <c r="AL99" s="32">
        <f>IF(Table_BDD[[#This Row],[Position]]="","",MAX(Table_BDD[[#This Row],[Cumul équité]],AL98))</f>
        <v>1052.8399999999999</v>
      </c>
      <c r="AM99" s="32">
        <f>IF(Table_BDD[[#This Row],[Position]]="","",MIN(Table_BDD[[#This Row],[Cumul équité]],AL98))</f>
        <v>924.96</v>
      </c>
      <c r="AN99" s="97">
        <f>IF(Table_BDD[[#This Row],[Sommet Drawdown]]&gt;AL98,"",Table_BDD[[#This Row],[Creux Drawdown]]/Table_BDD[[#This Row],[Sommet Drawdown]]-1)</f>
        <v>-0.12146195053379416</v>
      </c>
      <c r="AO99" s="36">
        <f>IF(Table_BDD[[#This Row],[Position]]="","",IF(Table_BDD[[#This Row],[Type]]="buy",ROUND(Table_BDD[[#This Row],[Lvl Sortie]]-Table_BDD[[#This Row],[Lvl Entrée]],1),ROUND(Table_BDD[[#This Row],[Lvl Entrée]]-Table_BDD[[#This Row],[Lvl Sortie]],1)))</f>
        <v>-10.4</v>
      </c>
      <c r="AP99" s="36" t="str">
        <f>IF(Table_BDD[[#This Row],[Points]]&gt;0,Table_BDD[[#This Row],[Points]],"")</f>
        <v/>
      </c>
      <c r="AQ99" s="36">
        <f>IF(Table_BDD[[#This Row],[Points]]&lt;0,Table_BDD[[#This Row],[Points]],"")</f>
        <v>-10.4</v>
      </c>
      <c r="AR99" s="36">
        <f>SUM($AO$4:AO99)</f>
        <v>-163.79999999999998</v>
      </c>
      <c r="AS99" s="68">
        <f>IF(Table_BDD[[#This Row],[Position]]="","",IF(Table_BDD[[#This Row],[Conformité]]="Conforme",1,0))</f>
        <v>0</v>
      </c>
      <c r="AT99" s="68">
        <f>IF(Table_BDD[[#This Row],[Position]]="","",IF(Table_BDD[[#This Row],[Conformité]]="Non conforme",1,0))</f>
        <v>1</v>
      </c>
      <c r="AU99" s="37" t="s">
        <v>17</v>
      </c>
      <c r="AV99" s="37"/>
      <c r="AW99" s="37"/>
      <c r="AX99" s="37">
        <v>0</v>
      </c>
      <c r="AY99" s="37">
        <v>0</v>
      </c>
      <c r="AZ99" s="37">
        <v>0</v>
      </c>
      <c r="BA99" s="40" t="str">
        <f>IF(Table_BDD[[#This Row],[Position]]="","Sans objet",IF(AND(Table_BDD[[#This Row],[Type]]="sell",Table_BDD[[#This Row],[S / L]]&lt;Table_BDD[[#This Row],[Lvl Entrée]],Table_BDD[[#This Row],[Lvl Sortie]]&lt;=Table_BDD[[#This Row],[S / L]]+2,Table_BDD[[#This Row],[Lvl Sortie]]&lt;Table_BDD[[#This Row],[Lvl Entrée]]-19),"Oui",IF(AND(Table_BDD[[#This Row],[Type]]="buy",Table_BDD[[#This Row],[S / L]]&gt;Table_BDD[[#This Row],[Lvl Entrée]],Table_BDD[[#This Row],[Lvl Sortie]]&gt;=Table_BDD[[#This Row],[S / L]]-2,Table_BDD[[#This Row],[S / L]]&gt;Table_BDD[[#This Row],[Lvl Entrée]]+19),"Oui","Non")))</f>
        <v>Non</v>
      </c>
      <c r="BB99" s="40" t="str">
        <f>IF(Table_BDD[[#This Row],[Position]]="","Sans objet",IF(AND(Table_BDD[[#This Row],[Type]]="sell",Table_BDD[[#This Row],[S / L]]&lt;Table_BDD[[#This Row],[Lvl Entrée]],Table_BDD[[#This Row],[Points]]&gt;=-1),"Oui",IF(AND(Table_BDD[[#This Row],[Type]]="sell",Table_BDD[[#This Row],[S / L]]&gt;Table_BDD[[#This Row],[Lvl Entrée]]),"Non",IF(AND(Table_BDD[[#This Row],[Type]]="buy",Table_BDD[[#This Row],[S / L]]&lt;Table_BDD[[#This Row],[Lvl Entrée]]),"Non",IF(AND(Table_BDD[[#This Row],[Type]]="buy",Table_BDD[[#This Row],[S / L]]&gt;Table_BDD[[#This Row],[Lvl Entrée]],Table_BDD[[#This Row],[Points]]&gt;=-1),"Oui")))))</f>
        <v>Non</v>
      </c>
      <c r="BC99" s="40" t="str">
        <f>IF(Table_BDD[[#This Row],[Position]]="","Sans objet",IF(Table_BDD[[#This Row],[T / P]]="","Non",IF(AND(Table_BDD[[#This Row],[Type]]="sell",Table_BDD[[#This Row],[Lvl Sortie]]&lt;=Table_BDD[[#This Row],[T / P]]),"Oui",IF(AND(Table_BDD[[#This Row],[Type]]="buy",Table_BDD[[#This Row],[Lvl Sortie]]&gt;=Table_BDD[[#This Row],[T / P]]),"Oui","Non"))))</f>
        <v>Non</v>
      </c>
      <c r="BD99" s="91">
        <f t="array" ref="BD99">IFERROR(INDEX(downloadFile[#All],MATCH(Table_BDD[[#This Row],[Date]],downloadFile[[#All],[Column1]],0),2),BD98)</f>
        <v>1.0913999999999999</v>
      </c>
      <c r="BE99" s="89">
        <f>IF(Table_BDD[[#This Row],[Position]]="","",IF(Table_BDD[[#This Row],[Symbole]]="UsaInd",(Table_BDD[[#This Row],[Volume]]*Table_BDD[[#This Row],[Lvl Entrée]])/(Table_BDD[[#This Row],[Equité avant trade]]*Table_BDD[[#This Row],[EUR/USD]]),IF(Table_BDD[[#This Row],[Symbole]]="Ger30",(Table_BDD[[#This Row],[Volume]]*Table_BDD[[#This Row],[Lvl Entrée]])/Table_BDD[[#This Row],[Equité avant trade]],)))</f>
        <v>14.532747207277962</v>
      </c>
      <c r="BF99" s="38">
        <f>IF(Table_BDD[[#This Row],[Position]]="","",IF(Table_BDD[[#This Row],[Conformité]]="Non conforme",0,(MROUND(3*((Table_BDD[[#This Row],[Conviction]]+Table_BDD[[#This Row],[Timing]]+Table_BDD[[#This Row],[Sortie]])+1)-2,1))))</f>
        <v>0</v>
      </c>
      <c r="BG99" s="38" t="str">
        <f>IF(Table_BDD[[#This Row],[Position]]="","",IF(Table_BDD[[#This Row],[Points]]&lt;-5,"--",IF(AND(Table_BDD[[#This Row],[Points]]&gt;=-5,Table_BDD[[#This Row],[Points]]&lt;-1.5),"-",IF(AND(Table_BDD[[#This Row],[Points]]&gt;=-1.5,Table_BDD[[#This Row],[Points]]&lt;1.5),"0",IF(AND(Table_BDD[[#This Row],[Points]]&gt;=1.5,Table_BDD[[#This Row],[Points]]&lt;=70),"+",IF(Table_BDD[[#This Row],[Points]]&gt;70,"++"))))))</f>
        <v>--</v>
      </c>
      <c r="BH99" s="37" t="str">
        <f>IF(Table_BDD[[#This Row],[Position]]="","",IF(Table_BDD[[#This Row],[Points]]&gt;0,"Gagnant",IF(Table_BDD[[#This Row],[Points]]=0,"Flat","Perdant")))</f>
        <v>Perdant</v>
      </c>
      <c r="BI99" s="40">
        <f>IF(Table_BDD[[#This Row],[Position]]="","",IF(Table_BDD[[#This Row],[Résultat]]="Gagnant",1,0))</f>
        <v>0</v>
      </c>
      <c r="BJ99" s="40">
        <f>IF(Table_BDD[[#This Row],[Position]]="","",IF(Table_BDD[[#This Row],[Résultat]]="Perdant",1,0))</f>
        <v>1</v>
      </c>
      <c r="BK99" s="40"/>
      <c r="BL99" s="145" t="str">
        <f>IF(Table_BDD[[#This Row],[T / P]]="","",Table_BDD[[#This Row],[T / P]])</f>
        <v/>
      </c>
      <c r="BM99" s="147"/>
      <c r="BN99" s="147"/>
      <c r="BO99" s="147"/>
      <c r="BP99" s="147"/>
      <c r="BQ99" s="127"/>
    </row>
    <row r="100" spans="1:69" x14ac:dyDescent="0.2">
      <c r="A100" s="93">
        <v>43873.683425925927</v>
      </c>
      <c r="B100" s="94">
        <v>259830377</v>
      </c>
      <c r="C100" s="37" t="s">
        <v>8</v>
      </c>
      <c r="D100" s="37" t="s">
        <v>10</v>
      </c>
      <c r="E100" s="37">
        <v>0.5</v>
      </c>
      <c r="F100" s="95">
        <v>29501.01</v>
      </c>
      <c r="G100" s="95">
        <v>29511.01</v>
      </c>
      <c r="H100" s="95">
        <v>29401.01</v>
      </c>
      <c r="I100" s="93">
        <v>43873.688506944447</v>
      </c>
      <c r="J100" s="95">
        <v>29511.07</v>
      </c>
      <c r="K100" s="95">
        <v>0</v>
      </c>
      <c r="L100" s="95">
        <v>0</v>
      </c>
      <c r="M100" s="32">
        <v>-4.62</v>
      </c>
      <c r="N100" s="148">
        <f>IF(Table_BDD[[#This Row],[Position]]="","",ROW()-3)</f>
        <v>97</v>
      </c>
      <c r="O100" s="32">
        <f>SUM($L$4:M100)</f>
        <v>-79.659999999999968</v>
      </c>
      <c r="P100" s="32">
        <f>Table_BDD[[#This Row],[Equité avant trade]]+Table_BDD[[#This Row],[Profit]]+Table_BDD[[#This Row],[Echange]]</f>
        <v>920.34</v>
      </c>
      <c r="Q100" s="52">
        <f>INT(Table_BDD[[#This Row],[Horodatage cloture]])</f>
        <v>43873</v>
      </c>
      <c r="R100" s="34">
        <f>WEEKNUM(Table_BDD[[#This Row],[Horodatage cloture]],2)</f>
        <v>7</v>
      </c>
      <c r="S100" s="61">
        <f>WEEKDAY(Table_BDD[[#This Row],[Horodatage cloture]])</f>
        <v>4</v>
      </c>
      <c r="T100" s="63">
        <f>HOUR(Table_BDD[[#This Row],[Horodatage cloture]])</f>
        <v>16</v>
      </c>
      <c r="U100" s="68">
        <f>IF(Table_BDD[[#This Row],[Position]]="","",IF(Table_BDD[[#This Row],[Valeur début de journée unique]]&lt;&gt;0,1,0))</f>
        <v>0</v>
      </c>
      <c r="V100" s="68" t="str">
        <f>IF(Table_BDD[[#This Row],[Nb de séance de trading]]=1,COUNTIF(Table_BDD[Date],Table_BDD[[#This Row],[Date]]),"")</f>
        <v/>
      </c>
      <c r="W100" s="33">
        <f>IF(Table_BDD[[#This Row],[Position]]="","",IF(Table_BDD[[#This Row],[Type]]="buy",ROUND(Table_BDD[[#This Row],[Lvl Entrée]]-Table_BDD[[#This Row],[S / L]],1),ROUND(Table_BDD[[#This Row],[S / L]]-Table_BDD[[#This Row],[Lvl Entrée]],1)))</f>
        <v>10</v>
      </c>
      <c r="X100" s="33">
        <f>IF(Table_BDD[[#This Row],[Position]]="","",IF(Table_BDD[[#This Row],[T / P]]=0,200,IF(Table_BDD[[#This Row],[Type]]="buy",ROUND(Table_BDD[[#This Row],[T / P]]-Table_BDD[[#This Row],[Lvl Entrée]],1),ROUND(Table_BDD[[#This Row],[Lvl Entrée]]-Table_BDD[[#This Row],[T / P]],1))))</f>
        <v>100</v>
      </c>
      <c r="Y100" s="34">
        <f>IF(Table_BDD[[#This Row],[Position]]="","",IF(Table_BDD[[#This Row],[Ecart du SL]]&gt;0,ROUND(ABS(Table_BDD[[#This Row],[Ecart du TP]])/ABS(Table_BDD[[#This Row],[Ecart du SL]]),1),ROUND(ABS(Table_BDD[[#This Row],[Ecart du TP]])/10,1)))</f>
        <v>10</v>
      </c>
      <c r="Z100" s="34">
        <f>IF(Table_BDD[[#This Row],[Position]]="","",IF(Table_BDD[[#This Row],[Ecart du SL]]&lt;0,IF(AND(Table_BDD[[#This Row],[Profit]]&gt;0,Table_BDD[[#This Row],[Type]]="sell"),ROUND((Table_BDD[[#This Row],[Lvl Entrée]]-Table_BDD[[#This Row],[Lvl Sortie]])/(10),1),IF(AND(Table_BDD[[#This Row],[Profit]]&gt;0,Table_BDD[[#This Row],[Type]]="buy"),ROUND((Table_BDD[[#This Row],[Lvl Sortie]]-Table_BDD[[#This Row],[Lvl Entrée]])/(10),1),)),IF(AND(Table_BDD[[#This Row],[Profit]]&gt;0,Table_BDD[[#This Row],[Type]]="sell"),ROUND((Table_BDD[[#This Row],[Lvl Entrée]]-Table_BDD[[#This Row],[Lvl Sortie]])/(Table_BDD[[#This Row],[S / L]]-Table_BDD[[#This Row],[Lvl Entrée]]),1),IF(AND(Table_BDD[[#This Row],[Profit]]&gt;0,Table_BDD[[#This Row],[Type]]="buy"),ROUND((Table_BDD[[#This Row],[Lvl Sortie]]-Table_BDD[[#This Row],[Lvl Entrée]])/(Table_BDD[[#This Row],[Lvl Entrée]]-Table_BDD[[#This Row],[S / L]]),1),ROUND(Table_BDD[[#This Row],[Points]]/10,1)))))</f>
        <v>-1</v>
      </c>
      <c r="AA100" s="32">
        <f>IF(Table_BDD[[#This Row],[Position]]="",AA99,Table_BDD[[#This Row],[Equité après trade]]-Table_BDD[[#This Row],[Profit]]-Table_BDD[[#This Row],[Echange]])</f>
        <v>924.96</v>
      </c>
      <c r="AB100" s="149">
        <f>$B$1+SUM($L$4:M100)</f>
        <v>920.34</v>
      </c>
      <c r="AC100" s="150">
        <f>IF(Table_BDD[[#This Row],[Position]]="","",_xlfn.MINIFS(Table_BDD[Horodatage ouverture],Table_BDD[Date],Table_BDD[Date]))</f>
        <v>43873.478587962964</v>
      </c>
      <c r="AD100" s="149">
        <f>VLOOKUP(_xlfn.MINIFS(Table_BDD[Horodatage ouverture],Table_BDD[Date],Table_BDD[Date]),Table_BDD[[Horodatage ouverture]:[Heure derniere valeur]],AA$2)</f>
        <v>921.11</v>
      </c>
      <c r="AE100" s="149">
        <f>IF(VLOOKUP(_xlfn.MINIFS(Table_BDD[Horodatage ouverture],Table_BDD[Date],Table_BDD[Date]),Table_BDD[[Horodatage ouverture]:[Heure derniere valeur]],AA$2)=Table_BDD[[#This Row],[Equité avant trade]],VLOOKUP(_xlfn.MINIFS(Table_BDD[Horodatage ouverture],Table_BDD[Date],Table_BDD[Date]),Table_BDD[[Horodatage ouverture]:[Heure derniere valeur]],AA$2),0)</f>
        <v>0</v>
      </c>
      <c r="AF100" s="150">
        <f>IF(Table_BDD[[#This Row],[Position]]="","",_xlfn.MAXIFS(Table_BDD[Horodatage ouverture],Table_BDD[Date],Table_BDD[Date]))</f>
        <v>43873.688703703701</v>
      </c>
      <c r="AG100" s="32">
        <f>VLOOKUP(_xlfn.MAXIFS(Table_BDD[Horodatage cloture],Table_BDD[Date],Table_BDD[Date]),Table_BDD[[Horodatage ouverture]:[Heure derniere valeur]],AB$2)</f>
        <v>920.68000000000006</v>
      </c>
      <c r="AH100" s="32">
        <f>IF(VLOOKUP(_xlfn.MAXIFS(Table_BDD[Horodatage cloture],Table_BDD[Date],Table_BDD[Date]),Table_BDD[[Horodatage ouverture]:[Heure derniere valeur]],AB$2)=Table_BDD[[#This Row],[Equité après trade]],VLOOKUP(_xlfn.MAXIFS(Table_BDD[Horodatage cloture],Table_BDD[Date],Table_BDD[Date]),Table_BDD[[Horodatage ouverture]:[Heure derniere valeur]],AB$2),0)</f>
        <v>0</v>
      </c>
      <c r="AI100" s="32" t="e">
        <f>IF(Table_BDD[[#This Row],[Valeur fin de journée unique]]=0,#N/A,Table_BDD[[#This Row],[Valeur fin de journée unique]])</f>
        <v>#N/A</v>
      </c>
      <c r="AJ100" s="35">
        <f>IF(Table_BDD[[#This Row],[Position]]="","",(Table_BDD[[#This Row],[Equité après trade]]-Table_BDD[[#This Row],[Equité avant trade]])/Table_BDD[[#This Row],[Equité avant trade]])</f>
        <v>-4.9948105864037412E-3</v>
      </c>
      <c r="AK100" s="35" t="str">
        <f>IFERROR(((INDEX(Table_BDD[[Trade n°]:[Valeur fin de journée unique]],Table_BDD[[#This Row],[Nb de trade du jour]]+Table_BDD[[#This Row],[Trade n°]]-1,21))-Table_BDD[[#This Row],[Valeur début de journée unique]])/Table_BDD[[#This Row],[Valeur début de journée unique]],"")</f>
        <v/>
      </c>
      <c r="AL100" s="32">
        <f>IF(Table_BDD[[#This Row],[Position]]="","",MAX(Table_BDD[[#This Row],[Cumul équité]],AL99))</f>
        <v>1052.8399999999999</v>
      </c>
      <c r="AM100" s="32">
        <f>IF(Table_BDD[[#This Row],[Position]]="","",MIN(Table_BDD[[#This Row],[Cumul équité]],AL99))</f>
        <v>920.34</v>
      </c>
      <c r="AN100" s="97">
        <f>IF(Table_BDD[[#This Row],[Sommet Drawdown]]&gt;AL99,"",Table_BDD[[#This Row],[Creux Drawdown]]/Table_BDD[[#This Row],[Sommet Drawdown]]-1)</f>
        <v>-0.1258500816838265</v>
      </c>
      <c r="AO100" s="36">
        <f>IF(Table_BDD[[#This Row],[Position]]="","",IF(Table_BDD[[#This Row],[Type]]="buy",ROUND(Table_BDD[[#This Row],[Lvl Sortie]]-Table_BDD[[#This Row],[Lvl Entrée]],1),ROUND(Table_BDD[[#This Row],[Lvl Entrée]]-Table_BDD[[#This Row],[Lvl Sortie]],1)))</f>
        <v>-10.1</v>
      </c>
      <c r="AP100" s="36" t="str">
        <f>IF(Table_BDD[[#This Row],[Points]]&gt;0,Table_BDD[[#This Row],[Points]],"")</f>
        <v/>
      </c>
      <c r="AQ100" s="36">
        <f>IF(Table_BDD[[#This Row],[Points]]&lt;0,Table_BDD[[#This Row],[Points]],"")</f>
        <v>-10.1</v>
      </c>
      <c r="AR100" s="36">
        <f>SUM($AO$4:AO100)</f>
        <v>-173.89999999999998</v>
      </c>
      <c r="AS100" s="68">
        <f>IF(Table_BDD[[#This Row],[Position]]="","",IF(Table_BDD[[#This Row],[Conformité]]="Conforme",1,0))</f>
        <v>0</v>
      </c>
      <c r="AT100" s="68">
        <f>IF(Table_BDD[[#This Row],[Position]]="","",IF(Table_BDD[[#This Row],[Conformité]]="Non conforme",1,0))</f>
        <v>1</v>
      </c>
      <c r="AU100" s="37" t="s">
        <v>17</v>
      </c>
      <c r="AV100" s="37"/>
      <c r="AW100" s="37"/>
      <c r="AX100" s="37">
        <v>0</v>
      </c>
      <c r="AY100" s="37">
        <v>0</v>
      </c>
      <c r="AZ100" s="37">
        <v>0</v>
      </c>
      <c r="BA100" s="40" t="str">
        <f>IF(Table_BDD[[#This Row],[Position]]="","Sans objet",IF(AND(Table_BDD[[#This Row],[Type]]="sell",Table_BDD[[#This Row],[S / L]]&lt;Table_BDD[[#This Row],[Lvl Entrée]],Table_BDD[[#This Row],[Lvl Sortie]]&lt;=Table_BDD[[#This Row],[S / L]]+2,Table_BDD[[#This Row],[Lvl Sortie]]&lt;Table_BDD[[#This Row],[Lvl Entrée]]-19),"Oui",IF(AND(Table_BDD[[#This Row],[Type]]="buy",Table_BDD[[#This Row],[S / L]]&gt;Table_BDD[[#This Row],[Lvl Entrée]],Table_BDD[[#This Row],[Lvl Sortie]]&gt;=Table_BDD[[#This Row],[S / L]]-2,Table_BDD[[#This Row],[S / L]]&gt;Table_BDD[[#This Row],[Lvl Entrée]]+19),"Oui","Non")))</f>
        <v>Non</v>
      </c>
      <c r="BB100" s="40" t="str">
        <f>IF(Table_BDD[[#This Row],[Position]]="","Sans objet",IF(AND(Table_BDD[[#This Row],[Type]]="sell",Table_BDD[[#This Row],[S / L]]&lt;Table_BDD[[#This Row],[Lvl Entrée]],Table_BDD[[#This Row],[Points]]&gt;=-1),"Oui",IF(AND(Table_BDD[[#This Row],[Type]]="sell",Table_BDD[[#This Row],[S / L]]&gt;Table_BDD[[#This Row],[Lvl Entrée]]),"Non",IF(AND(Table_BDD[[#This Row],[Type]]="buy",Table_BDD[[#This Row],[S / L]]&lt;Table_BDD[[#This Row],[Lvl Entrée]]),"Non",IF(AND(Table_BDD[[#This Row],[Type]]="buy",Table_BDD[[#This Row],[S / L]]&gt;Table_BDD[[#This Row],[Lvl Entrée]],Table_BDD[[#This Row],[Points]]&gt;=-1),"Oui")))))</f>
        <v>Non</v>
      </c>
      <c r="BC100" s="40" t="str">
        <f>IF(Table_BDD[[#This Row],[Position]]="","Sans objet",IF(Table_BDD[[#This Row],[T / P]]="","Non",IF(AND(Table_BDD[[#This Row],[Type]]="sell",Table_BDD[[#This Row],[Lvl Sortie]]&lt;=Table_BDD[[#This Row],[T / P]]),"Oui",IF(AND(Table_BDD[[#This Row],[Type]]="buy",Table_BDD[[#This Row],[Lvl Sortie]]&gt;=Table_BDD[[#This Row],[T / P]]),"Oui","Non"))))</f>
        <v>Non</v>
      </c>
      <c r="BD100" s="91">
        <f t="array" ref="BD100">IFERROR(INDEX(downloadFile[#All],MATCH(Table_BDD[[#This Row],[Date]],downloadFile[[#All],[Column1]],0),2),BD99)</f>
        <v>1.0913999999999999</v>
      </c>
      <c r="BE100" s="89">
        <f>IF(Table_BDD[[#This Row],[Position]]="","",IF(Table_BDD[[#This Row],[Symbole]]="UsaInd",(Table_BDD[[#This Row],[Volume]]*Table_BDD[[#This Row],[Lvl Entrée]])/(Table_BDD[[#This Row],[Equité avant trade]]*Table_BDD[[#This Row],[EUR/USD]]),IF(Table_BDD[[#This Row],[Symbole]]="Ger30",(Table_BDD[[#This Row],[Volume]]*Table_BDD[[#This Row],[Lvl Entrée]])/Table_BDD[[#This Row],[Equité avant trade]],)))</f>
        <v>14.611674454590919</v>
      </c>
      <c r="BF100" s="38">
        <f>IF(Table_BDD[[#This Row],[Position]]="","",IF(Table_BDD[[#This Row],[Conformité]]="Non conforme",0,(MROUND(3*((Table_BDD[[#This Row],[Conviction]]+Table_BDD[[#This Row],[Timing]]+Table_BDD[[#This Row],[Sortie]])+1)-2,1))))</f>
        <v>0</v>
      </c>
      <c r="BG100" s="38" t="str">
        <f>IF(Table_BDD[[#This Row],[Position]]="","",IF(Table_BDD[[#This Row],[Points]]&lt;-5,"--",IF(AND(Table_BDD[[#This Row],[Points]]&gt;=-5,Table_BDD[[#This Row],[Points]]&lt;-1.5),"-",IF(AND(Table_BDD[[#This Row],[Points]]&gt;=-1.5,Table_BDD[[#This Row],[Points]]&lt;1.5),"0",IF(AND(Table_BDD[[#This Row],[Points]]&gt;=1.5,Table_BDD[[#This Row],[Points]]&lt;=70),"+",IF(Table_BDD[[#This Row],[Points]]&gt;70,"++"))))))</f>
        <v>--</v>
      </c>
      <c r="BH100" s="37" t="str">
        <f>IF(Table_BDD[[#This Row],[Position]]="","",IF(Table_BDD[[#This Row],[Points]]&gt;0,"Gagnant",IF(Table_BDD[[#This Row],[Points]]=0,"Flat","Perdant")))</f>
        <v>Perdant</v>
      </c>
      <c r="BI100" s="40">
        <f>IF(Table_BDD[[#This Row],[Position]]="","",IF(Table_BDD[[#This Row],[Résultat]]="Gagnant",1,0))</f>
        <v>0</v>
      </c>
      <c r="BJ100" s="40">
        <f>IF(Table_BDD[[#This Row],[Position]]="","",IF(Table_BDD[[#This Row],[Résultat]]="Perdant",1,0))</f>
        <v>1</v>
      </c>
      <c r="BK100" s="40"/>
      <c r="BL100" s="145">
        <f>IF(Table_BDD[[#This Row],[T / P]]="","",Table_BDD[[#This Row],[T / P]])</f>
        <v>29401.01</v>
      </c>
      <c r="BM100" s="147"/>
      <c r="BN100" s="147"/>
      <c r="BO100" s="147"/>
      <c r="BP100" s="147"/>
      <c r="BQ100" s="127"/>
    </row>
    <row r="101" spans="1:69" x14ac:dyDescent="0.2">
      <c r="A101" s="93">
        <v>43873.688703703701</v>
      </c>
      <c r="B101" s="94">
        <v>259831354</v>
      </c>
      <c r="C101" s="37" t="s">
        <v>8</v>
      </c>
      <c r="D101" s="37" t="s">
        <v>10</v>
      </c>
      <c r="E101" s="37">
        <v>0.5</v>
      </c>
      <c r="F101" s="95">
        <v>29505.97</v>
      </c>
      <c r="G101" s="95">
        <v>29504.47</v>
      </c>
      <c r="H101" s="95">
        <v>29405.97</v>
      </c>
      <c r="I101" s="93">
        <v>43873.772685185184</v>
      </c>
      <c r="J101" s="95">
        <v>29505.24</v>
      </c>
      <c r="K101" s="95">
        <v>0</v>
      </c>
      <c r="L101" s="95">
        <v>0</v>
      </c>
      <c r="M101" s="32">
        <v>0.34</v>
      </c>
      <c r="N101" s="148">
        <f>IF(Table_BDD[[#This Row],[Position]]="","",ROW()-3)</f>
        <v>98</v>
      </c>
      <c r="O101" s="32">
        <f>SUM($L$4:M101)</f>
        <v>-79.319999999999965</v>
      </c>
      <c r="P101" s="32">
        <f>Table_BDD[[#This Row],[Equité avant trade]]+Table_BDD[[#This Row],[Profit]]+Table_BDD[[#This Row],[Echange]]</f>
        <v>920.68000000000006</v>
      </c>
      <c r="Q101" s="52">
        <f>INT(Table_BDD[[#This Row],[Horodatage cloture]])</f>
        <v>43873</v>
      </c>
      <c r="R101" s="34">
        <f>WEEKNUM(Table_BDD[[#This Row],[Horodatage cloture]],2)</f>
        <v>7</v>
      </c>
      <c r="S101" s="61">
        <f>WEEKDAY(Table_BDD[[#This Row],[Horodatage cloture]])</f>
        <v>4</v>
      </c>
      <c r="T101" s="63">
        <f>HOUR(Table_BDD[[#This Row],[Horodatage cloture]])</f>
        <v>18</v>
      </c>
      <c r="U101" s="68">
        <f>IF(Table_BDD[[#This Row],[Position]]="","",IF(Table_BDD[[#This Row],[Valeur début de journée unique]]&lt;&gt;0,1,0))</f>
        <v>0</v>
      </c>
      <c r="V101" s="68" t="str">
        <f>IF(Table_BDD[[#This Row],[Nb de séance de trading]]=1,COUNTIF(Table_BDD[Date],Table_BDD[[#This Row],[Date]]),"")</f>
        <v/>
      </c>
      <c r="W101" s="33">
        <f>IF(Table_BDD[[#This Row],[Position]]="","",IF(Table_BDD[[#This Row],[Type]]="buy",ROUND(Table_BDD[[#This Row],[Lvl Entrée]]-Table_BDD[[#This Row],[S / L]],1),ROUND(Table_BDD[[#This Row],[S / L]]-Table_BDD[[#This Row],[Lvl Entrée]],1)))</f>
        <v>-1.5</v>
      </c>
      <c r="X101" s="33">
        <f>IF(Table_BDD[[#This Row],[Position]]="","",IF(Table_BDD[[#This Row],[T / P]]=0,200,IF(Table_BDD[[#This Row],[Type]]="buy",ROUND(Table_BDD[[#This Row],[T / P]]-Table_BDD[[#This Row],[Lvl Entrée]],1),ROUND(Table_BDD[[#This Row],[Lvl Entrée]]-Table_BDD[[#This Row],[T / P]],1))))</f>
        <v>100</v>
      </c>
      <c r="Y101" s="34">
        <f>IF(Table_BDD[[#This Row],[Position]]="","",IF(Table_BDD[[#This Row],[Ecart du SL]]&gt;0,ROUND(ABS(Table_BDD[[#This Row],[Ecart du TP]])/ABS(Table_BDD[[#This Row],[Ecart du SL]]),1),ROUND(ABS(Table_BDD[[#This Row],[Ecart du TP]])/10,1)))</f>
        <v>10</v>
      </c>
      <c r="Z101" s="34">
        <f>IF(Table_BDD[[#This Row],[Position]]="","",IF(Table_BDD[[#This Row],[Ecart du SL]]&lt;0,IF(AND(Table_BDD[[#This Row],[Profit]]&gt;0,Table_BDD[[#This Row],[Type]]="sell"),ROUND((Table_BDD[[#This Row],[Lvl Entrée]]-Table_BDD[[#This Row],[Lvl Sortie]])/(10),1),IF(AND(Table_BDD[[#This Row],[Profit]]&gt;0,Table_BDD[[#This Row],[Type]]="buy"),ROUND((Table_BDD[[#This Row],[Lvl Sortie]]-Table_BDD[[#This Row],[Lvl Entrée]])/(10),1),)),IF(AND(Table_BDD[[#This Row],[Profit]]&gt;0,Table_BDD[[#This Row],[Type]]="sell"),ROUND((Table_BDD[[#This Row],[Lvl Entrée]]-Table_BDD[[#This Row],[Lvl Sortie]])/(Table_BDD[[#This Row],[S / L]]-Table_BDD[[#This Row],[Lvl Entrée]]),1),IF(AND(Table_BDD[[#This Row],[Profit]]&gt;0,Table_BDD[[#This Row],[Type]]="buy"),ROUND((Table_BDD[[#This Row],[Lvl Sortie]]-Table_BDD[[#This Row],[Lvl Entrée]])/(Table_BDD[[#This Row],[Lvl Entrée]]-Table_BDD[[#This Row],[S / L]]),1),ROUND(Table_BDD[[#This Row],[Points]]/10,1)))))</f>
        <v>0.1</v>
      </c>
      <c r="AA101" s="32">
        <f>IF(Table_BDD[[#This Row],[Position]]="",AA100,Table_BDD[[#This Row],[Equité après trade]]-Table_BDD[[#This Row],[Profit]]-Table_BDD[[#This Row],[Echange]])</f>
        <v>920.34</v>
      </c>
      <c r="AB101" s="149">
        <f>$B$1+SUM($L$4:M101)</f>
        <v>920.68000000000006</v>
      </c>
      <c r="AC101" s="150">
        <f>IF(Table_BDD[[#This Row],[Position]]="","",_xlfn.MINIFS(Table_BDD[Horodatage ouverture],Table_BDD[Date],Table_BDD[Date]))</f>
        <v>43873.478587962964</v>
      </c>
      <c r="AD101" s="149">
        <f>VLOOKUP(_xlfn.MINIFS(Table_BDD[Horodatage ouverture],Table_BDD[Date],Table_BDD[Date]),Table_BDD[[Horodatage ouverture]:[Heure derniere valeur]],AA$2)</f>
        <v>921.11</v>
      </c>
      <c r="AE101" s="149">
        <f>IF(VLOOKUP(_xlfn.MINIFS(Table_BDD[Horodatage ouverture],Table_BDD[Date],Table_BDD[Date]),Table_BDD[[Horodatage ouverture]:[Heure derniere valeur]],AA$2)=Table_BDD[[#This Row],[Equité avant trade]],VLOOKUP(_xlfn.MINIFS(Table_BDD[Horodatage ouverture],Table_BDD[Date],Table_BDD[Date]),Table_BDD[[Horodatage ouverture]:[Heure derniere valeur]],AA$2),0)</f>
        <v>0</v>
      </c>
      <c r="AF101" s="150">
        <f>IF(Table_BDD[[#This Row],[Position]]="","",_xlfn.MAXIFS(Table_BDD[Horodatage ouverture],Table_BDD[Date],Table_BDD[Date]))</f>
        <v>43873.688703703701</v>
      </c>
      <c r="AG101" s="32">
        <f>VLOOKUP(_xlfn.MAXIFS(Table_BDD[Horodatage cloture],Table_BDD[Date],Table_BDD[Date]),Table_BDD[[Horodatage ouverture]:[Heure derniere valeur]],AB$2)</f>
        <v>920.68000000000006</v>
      </c>
      <c r="AH101" s="32">
        <f>IF(VLOOKUP(_xlfn.MAXIFS(Table_BDD[Horodatage cloture],Table_BDD[Date],Table_BDD[Date]),Table_BDD[[Horodatage ouverture]:[Heure derniere valeur]],AB$2)=Table_BDD[[#This Row],[Equité après trade]],VLOOKUP(_xlfn.MAXIFS(Table_BDD[Horodatage cloture],Table_BDD[Date],Table_BDD[Date]),Table_BDD[[Horodatage ouverture]:[Heure derniere valeur]],AB$2),0)</f>
        <v>920.68000000000006</v>
      </c>
      <c r="AI101" s="32">
        <f>IF(Table_BDD[[#This Row],[Valeur fin de journée unique]]=0,#N/A,Table_BDD[[#This Row],[Valeur fin de journée unique]])</f>
        <v>920.68000000000006</v>
      </c>
      <c r="AJ101" s="35">
        <f>IF(Table_BDD[[#This Row],[Position]]="","",(Table_BDD[[#This Row],[Equité après trade]]-Table_BDD[[#This Row],[Equité avant trade]])/Table_BDD[[#This Row],[Equité avant trade]])</f>
        <v>3.6942868939743116E-4</v>
      </c>
      <c r="AK101" s="35" t="str">
        <f>IFERROR(((INDEX(Table_BDD[[Trade n°]:[Valeur fin de journée unique]],Table_BDD[[#This Row],[Nb de trade du jour]]+Table_BDD[[#This Row],[Trade n°]]-1,21))-Table_BDD[[#This Row],[Valeur début de journée unique]])/Table_BDD[[#This Row],[Valeur début de journée unique]],"")</f>
        <v/>
      </c>
      <c r="AL101" s="32">
        <f>IF(Table_BDD[[#This Row],[Position]]="","",MAX(Table_BDD[[#This Row],[Cumul équité]],AL100))</f>
        <v>1052.8399999999999</v>
      </c>
      <c r="AM101" s="32">
        <f>IF(Table_BDD[[#This Row],[Position]]="","",MIN(Table_BDD[[#This Row],[Cumul équité]],AL100))</f>
        <v>920.68000000000006</v>
      </c>
      <c r="AN101" s="97">
        <f>IF(Table_BDD[[#This Row],[Sommet Drawdown]]&gt;AL100,"",Table_BDD[[#This Row],[Creux Drawdown]]/Table_BDD[[#This Row],[Sommet Drawdown]]-1)</f>
        <v>-0.12552714562516609</v>
      </c>
      <c r="AO101" s="36">
        <f>IF(Table_BDD[[#This Row],[Position]]="","",IF(Table_BDD[[#This Row],[Type]]="buy",ROUND(Table_BDD[[#This Row],[Lvl Sortie]]-Table_BDD[[#This Row],[Lvl Entrée]],1),ROUND(Table_BDD[[#This Row],[Lvl Entrée]]-Table_BDD[[#This Row],[Lvl Sortie]],1)))</f>
        <v>0.7</v>
      </c>
      <c r="AP101" s="36">
        <f>IF(Table_BDD[[#This Row],[Points]]&gt;0,Table_BDD[[#This Row],[Points]],"")</f>
        <v>0.7</v>
      </c>
      <c r="AQ101" s="36" t="str">
        <f>IF(Table_BDD[[#This Row],[Points]]&lt;0,Table_BDD[[#This Row],[Points]],"")</f>
        <v/>
      </c>
      <c r="AR101" s="36">
        <f>SUM($AO$4:AO101)</f>
        <v>-173.2</v>
      </c>
      <c r="AS101" s="68">
        <f>IF(Table_BDD[[#This Row],[Position]]="","",IF(Table_BDD[[#This Row],[Conformité]]="Conforme",1,0))</f>
        <v>0</v>
      </c>
      <c r="AT101" s="68">
        <f>IF(Table_BDD[[#This Row],[Position]]="","",IF(Table_BDD[[#This Row],[Conformité]]="Non conforme",1,0))</f>
        <v>1</v>
      </c>
      <c r="AU101" s="37" t="s">
        <v>17</v>
      </c>
      <c r="AV101" s="37"/>
      <c r="AW101" s="37"/>
      <c r="AX101" s="37">
        <v>0</v>
      </c>
      <c r="AY101" s="37">
        <v>0</v>
      </c>
      <c r="AZ101" s="37">
        <v>0</v>
      </c>
      <c r="BA101" s="40" t="str">
        <f>IF(Table_BDD[[#This Row],[Position]]="","Sans objet",IF(AND(Table_BDD[[#This Row],[Type]]="sell",Table_BDD[[#This Row],[S / L]]&lt;Table_BDD[[#This Row],[Lvl Entrée]],Table_BDD[[#This Row],[Lvl Sortie]]&lt;=Table_BDD[[#This Row],[S / L]]+2,Table_BDD[[#This Row],[Lvl Sortie]]&lt;Table_BDD[[#This Row],[Lvl Entrée]]-19),"Oui",IF(AND(Table_BDD[[#This Row],[Type]]="buy",Table_BDD[[#This Row],[S / L]]&gt;Table_BDD[[#This Row],[Lvl Entrée]],Table_BDD[[#This Row],[Lvl Sortie]]&gt;=Table_BDD[[#This Row],[S / L]]-2,Table_BDD[[#This Row],[S / L]]&gt;Table_BDD[[#This Row],[Lvl Entrée]]+19),"Oui","Non")))</f>
        <v>Non</v>
      </c>
      <c r="BB101" s="40" t="str">
        <f>IF(Table_BDD[[#This Row],[Position]]="","Sans objet",IF(AND(Table_BDD[[#This Row],[Type]]="sell",Table_BDD[[#This Row],[S / L]]&lt;Table_BDD[[#This Row],[Lvl Entrée]],Table_BDD[[#This Row],[Points]]&gt;=-1),"Oui",IF(AND(Table_BDD[[#This Row],[Type]]="sell",Table_BDD[[#This Row],[S / L]]&gt;Table_BDD[[#This Row],[Lvl Entrée]]),"Non",IF(AND(Table_BDD[[#This Row],[Type]]="buy",Table_BDD[[#This Row],[S / L]]&lt;Table_BDD[[#This Row],[Lvl Entrée]]),"Non",IF(AND(Table_BDD[[#This Row],[Type]]="buy",Table_BDD[[#This Row],[S / L]]&gt;Table_BDD[[#This Row],[Lvl Entrée]],Table_BDD[[#This Row],[Points]]&gt;=-1),"Oui")))))</f>
        <v>Oui</v>
      </c>
      <c r="BC101" s="40" t="str">
        <f>IF(Table_BDD[[#This Row],[Position]]="","Sans objet",IF(Table_BDD[[#This Row],[T / P]]="","Non",IF(AND(Table_BDD[[#This Row],[Type]]="sell",Table_BDD[[#This Row],[Lvl Sortie]]&lt;=Table_BDD[[#This Row],[T / P]]),"Oui",IF(AND(Table_BDD[[#This Row],[Type]]="buy",Table_BDD[[#This Row],[Lvl Sortie]]&gt;=Table_BDD[[#This Row],[T / P]]),"Oui","Non"))))</f>
        <v>Non</v>
      </c>
      <c r="BD101" s="91">
        <f t="array" ref="BD101">IFERROR(INDEX(downloadFile[#All],MATCH(Table_BDD[[#This Row],[Date]],downloadFile[[#All],[Column1]],0),2),BD100)</f>
        <v>1.0913999999999999</v>
      </c>
      <c r="BE101" s="89">
        <f>IF(Table_BDD[[#This Row],[Position]]="","",IF(Table_BDD[[#This Row],[Symbole]]="UsaInd",(Table_BDD[[#This Row],[Volume]]*Table_BDD[[#This Row],[Lvl Entrée]])/(Table_BDD[[#This Row],[Equité avant trade]]*Table_BDD[[#This Row],[EUR/USD]]),IF(Table_BDD[[#This Row],[Symbole]]="Ger30",(Table_BDD[[#This Row],[Volume]]*Table_BDD[[#This Row],[Lvl Entrée]])/Table_BDD[[#This Row],[Equité avant trade]],)))</f>
        <v>14.687492355338129</v>
      </c>
      <c r="BF101" s="38">
        <f>IF(Table_BDD[[#This Row],[Position]]="","",IF(Table_BDD[[#This Row],[Conformité]]="Non conforme",0,(MROUND(3*((Table_BDD[[#This Row],[Conviction]]+Table_BDD[[#This Row],[Timing]]+Table_BDD[[#This Row],[Sortie]])+1)-2,1))))</f>
        <v>0</v>
      </c>
      <c r="BG101" s="38" t="str">
        <f>IF(Table_BDD[[#This Row],[Position]]="","",IF(Table_BDD[[#This Row],[Points]]&lt;-5,"--",IF(AND(Table_BDD[[#This Row],[Points]]&gt;=-5,Table_BDD[[#This Row],[Points]]&lt;-1.5),"-",IF(AND(Table_BDD[[#This Row],[Points]]&gt;=-1.5,Table_BDD[[#This Row],[Points]]&lt;1.5),"0",IF(AND(Table_BDD[[#This Row],[Points]]&gt;=1.5,Table_BDD[[#This Row],[Points]]&lt;=70),"+",IF(Table_BDD[[#This Row],[Points]]&gt;70,"++"))))))</f>
        <v>0</v>
      </c>
      <c r="BH101" s="37" t="str">
        <f>IF(Table_BDD[[#This Row],[Position]]="","",IF(Table_BDD[[#This Row],[Points]]&gt;0,"Gagnant",IF(Table_BDD[[#This Row],[Points]]=0,"Flat","Perdant")))</f>
        <v>Gagnant</v>
      </c>
      <c r="BI101" s="40">
        <f>IF(Table_BDD[[#This Row],[Position]]="","",IF(Table_BDD[[#This Row],[Résultat]]="Gagnant",1,0))</f>
        <v>1</v>
      </c>
      <c r="BJ101" s="40">
        <f>IF(Table_BDD[[#This Row],[Position]]="","",IF(Table_BDD[[#This Row],[Résultat]]="Perdant",1,0))</f>
        <v>0</v>
      </c>
      <c r="BK101" s="40"/>
      <c r="BL101" s="145">
        <f>IF(Table_BDD[[#This Row],[T / P]]="","",Table_BDD[[#This Row],[T / P]])</f>
        <v>29405.97</v>
      </c>
      <c r="BM101" s="147"/>
      <c r="BN101" s="147"/>
      <c r="BO101" s="147"/>
      <c r="BP101" s="147"/>
      <c r="BQ101" s="127"/>
    </row>
    <row r="102" spans="1:69" x14ac:dyDescent="0.2">
      <c r="A102" s="93">
        <v>43874.650868055556</v>
      </c>
      <c r="B102" s="94">
        <v>259907380</v>
      </c>
      <c r="C102" s="37" t="s">
        <v>8</v>
      </c>
      <c r="D102" s="37" t="s">
        <v>10</v>
      </c>
      <c r="E102" s="37">
        <v>0.5</v>
      </c>
      <c r="F102" s="95">
        <v>29440.560000000001</v>
      </c>
      <c r="G102" s="95">
        <v>29439.06</v>
      </c>
      <c r="H102" s="95">
        <v>29275.56</v>
      </c>
      <c r="I102" s="93">
        <v>43874.656412037039</v>
      </c>
      <c r="J102" s="95">
        <v>29439.9</v>
      </c>
      <c r="K102" s="95">
        <v>0</v>
      </c>
      <c r="L102" s="95">
        <v>0</v>
      </c>
      <c r="M102" s="32">
        <v>0.3</v>
      </c>
      <c r="N102" s="148">
        <f>IF(Table_BDD[[#This Row],[Position]]="","",ROW()-3)</f>
        <v>99</v>
      </c>
      <c r="O102" s="32">
        <f>SUM($L$4:M102)</f>
        <v>-79.019999999999968</v>
      </c>
      <c r="P102" s="32">
        <f>Table_BDD[[#This Row],[Equité avant trade]]+Table_BDD[[#This Row],[Profit]]+Table_BDD[[#This Row],[Echange]]</f>
        <v>920.98</v>
      </c>
      <c r="Q102" s="52">
        <f>INT(Table_BDD[[#This Row],[Horodatage cloture]])</f>
        <v>43874</v>
      </c>
      <c r="R102" s="34">
        <f>WEEKNUM(Table_BDD[[#This Row],[Horodatage cloture]],2)</f>
        <v>7</v>
      </c>
      <c r="S102" s="61">
        <f>WEEKDAY(Table_BDD[[#This Row],[Horodatage cloture]])</f>
        <v>5</v>
      </c>
      <c r="T102" s="63">
        <f>HOUR(Table_BDD[[#This Row],[Horodatage cloture]])</f>
        <v>15</v>
      </c>
      <c r="U102" s="68">
        <f>IF(Table_BDD[[#This Row],[Position]]="","",IF(Table_BDD[[#This Row],[Valeur début de journée unique]]&lt;&gt;0,1,0))</f>
        <v>1</v>
      </c>
      <c r="V102" s="68">
        <f>IF(Table_BDD[[#This Row],[Nb de séance de trading]]=1,COUNTIF(Table_BDD[Date],Table_BDD[[#This Row],[Date]]),"")</f>
        <v>19</v>
      </c>
      <c r="W102" s="33">
        <f>IF(Table_BDD[[#This Row],[Position]]="","",IF(Table_BDD[[#This Row],[Type]]="buy",ROUND(Table_BDD[[#This Row],[Lvl Entrée]]-Table_BDD[[#This Row],[S / L]],1),ROUND(Table_BDD[[#This Row],[S / L]]-Table_BDD[[#This Row],[Lvl Entrée]],1)))</f>
        <v>-1.5</v>
      </c>
      <c r="X102" s="33">
        <f>IF(Table_BDD[[#This Row],[Position]]="","",IF(Table_BDD[[#This Row],[T / P]]=0,200,IF(Table_BDD[[#This Row],[Type]]="buy",ROUND(Table_BDD[[#This Row],[T / P]]-Table_BDD[[#This Row],[Lvl Entrée]],1),ROUND(Table_BDD[[#This Row],[Lvl Entrée]]-Table_BDD[[#This Row],[T / P]],1))))</f>
        <v>165</v>
      </c>
      <c r="Y102" s="34">
        <f>IF(Table_BDD[[#This Row],[Position]]="","",IF(Table_BDD[[#This Row],[Ecart du SL]]&gt;0,ROUND(ABS(Table_BDD[[#This Row],[Ecart du TP]])/ABS(Table_BDD[[#This Row],[Ecart du SL]]),1),ROUND(ABS(Table_BDD[[#This Row],[Ecart du TP]])/10,1)))</f>
        <v>16.5</v>
      </c>
      <c r="Z102" s="34">
        <f>IF(Table_BDD[[#This Row],[Position]]="","",IF(Table_BDD[[#This Row],[Ecart du SL]]&lt;0,IF(AND(Table_BDD[[#This Row],[Profit]]&gt;0,Table_BDD[[#This Row],[Type]]="sell"),ROUND((Table_BDD[[#This Row],[Lvl Entrée]]-Table_BDD[[#This Row],[Lvl Sortie]])/(10),1),IF(AND(Table_BDD[[#This Row],[Profit]]&gt;0,Table_BDD[[#This Row],[Type]]="buy"),ROUND((Table_BDD[[#This Row],[Lvl Sortie]]-Table_BDD[[#This Row],[Lvl Entrée]])/(10),1),)),IF(AND(Table_BDD[[#This Row],[Profit]]&gt;0,Table_BDD[[#This Row],[Type]]="sell"),ROUND((Table_BDD[[#This Row],[Lvl Entrée]]-Table_BDD[[#This Row],[Lvl Sortie]])/(Table_BDD[[#This Row],[S / L]]-Table_BDD[[#This Row],[Lvl Entrée]]),1),IF(AND(Table_BDD[[#This Row],[Profit]]&gt;0,Table_BDD[[#This Row],[Type]]="buy"),ROUND((Table_BDD[[#This Row],[Lvl Sortie]]-Table_BDD[[#This Row],[Lvl Entrée]])/(Table_BDD[[#This Row],[Lvl Entrée]]-Table_BDD[[#This Row],[S / L]]),1),ROUND(Table_BDD[[#This Row],[Points]]/10,1)))))</f>
        <v>0.1</v>
      </c>
      <c r="AA102" s="32">
        <f>IF(Table_BDD[[#This Row],[Position]]="",AA101,Table_BDD[[#This Row],[Equité après trade]]-Table_BDD[[#This Row],[Profit]]-Table_BDD[[#This Row],[Echange]])</f>
        <v>920.68000000000006</v>
      </c>
      <c r="AB102" s="149">
        <f>$B$1+SUM($L$4:M102)</f>
        <v>920.98</v>
      </c>
      <c r="AC102" s="150">
        <f>IF(Table_BDD[[#This Row],[Position]]="","",_xlfn.MINIFS(Table_BDD[Horodatage ouverture],Table_BDD[Date],Table_BDD[Date]))</f>
        <v>43874.650868055556</v>
      </c>
      <c r="AD102" s="149">
        <f>VLOOKUP(_xlfn.MINIFS(Table_BDD[Horodatage ouverture],Table_BDD[Date],Table_BDD[Date]),Table_BDD[[Horodatage ouverture]:[Heure derniere valeur]],AA$2)</f>
        <v>920.68000000000006</v>
      </c>
      <c r="AE102" s="149">
        <f>IF(VLOOKUP(_xlfn.MINIFS(Table_BDD[Horodatage ouverture],Table_BDD[Date],Table_BDD[Date]),Table_BDD[[Horodatage ouverture]:[Heure derniere valeur]],AA$2)=Table_BDD[[#This Row],[Equité avant trade]],VLOOKUP(_xlfn.MINIFS(Table_BDD[Horodatage ouverture],Table_BDD[Date],Table_BDD[Date]),Table_BDD[[Horodatage ouverture]:[Heure derniere valeur]],AA$2),0)</f>
        <v>920.68000000000006</v>
      </c>
      <c r="AF102" s="150">
        <f>IF(Table_BDD[[#This Row],[Position]]="","",_xlfn.MAXIFS(Table_BDD[Horodatage ouverture],Table_BDD[Date],Table_BDD[Date]))</f>
        <v>43874.763055555559</v>
      </c>
      <c r="AG102" s="32">
        <f>VLOOKUP(_xlfn.MAXIFS(Table_BDD[Horodatage cloture],Table_BDD[Date],Table_BDD[Date]),Table_BDD[[Horodatage ouverture]:[Heure derniere valeur]],AB$2)</f>
        <v>867.85</v>
      </c>
      <c r="AH102" s="32">
        <f>IF(VLOOKUP(_xlfn.MAXIFS(Table_BDD[Horodatage cloture],Table_BDD[Date],Table_BDD[Date]),Table_BDD[[Horodatage ouverture]:[Heure derniere valeur]],AB$2)=Table_BDD[[#This Row],[Equité après trade]],VLOOKUP(_xlfn.MAXIFS(Table_BDD[Horodatage cloture],Table_BDD[Date],Table_BDD[Date]),Table_BDD[[Horodatage ouverture]:[Heure derniere valeur]],AB$2),0)</f>
        <v>0</v>
      </c>
      <c r="AI102" s="32" t="e">
        <f>IF(Table_BDD[[#This Row],[Valeur fin de journée unique]]=0,#N/A,Table_BDD[[#This Row],[Valeur fin de journée unique]])</f>
        <v>#N/A</v>
      </c>
      <c r="AJ102" s="35">
        <f>IF(Table_BDD[[#This Row],[Position]]="","",(Table_BDD[[#This Row],[Equité après trade]]-Table_BDD[[#This Row],[Equité avant trade]])/Table_BDD[[#This Row],[Equité avant trade]])</f>
        <v>3.2584611374196737E-4</v>
      </c>
      <c r="AK102" s="35">
        <f>IFERROR(((INDEX(Table_BDD[[Trade n°]:[Valeur fin de journée unique]],Table_BDD[[#This Row],[Nb de trade du jour]]+Table_BDD[[#This Row],[Trade n°]]-1,21))-Table_BDD[[#This Row],[Valeur début de journée unique]])/Table_BDD[[#This Row],[Valeur début de journée unique]],"")</f>
        <v>-5.7381500629969197E-2</v>
      </c>
      <c r="AL102" s="32">
        <f>IF(Table_BDD[[#This Row],[Position]]="","",MAX(Table_BDD[[#This Row],[Cumul équité]],AL101))</f>
        <v>1052.8399999999999</v>
      </c>
      <c r="AM102" s="32">
        <f>IF(Table_BDD[[#This Row],[Position]]="","",MIN(Table_BDD[[#This Row],[Cumul équité]],AL101))</f>
        <v>920.98</v>
      </c>
      <c r="AN102" s="97">
        <f>IF(Table_BDD[[#This Row],[Sommet Drawdown]]&gt;AL101,"",Table_BDD[[#This Row],[Creux Drawdown]]/Table_BDD[[#This Row],[Sommet Drawdown]]-1)</f>
        <v>-0.12524220204399517</v>
      </c>
      <c r="AO102" s="36">
        <f>IF(Table_BDD[[#This Row],[Position]]="","",IF(Table_BDD[[#This Row],[Type]]="buy",ROUND(Table_BDD[[#This Row],[Lvl Sortie]]-Table_BDD[[#This Row],[Lvl Entrée]],1),ROUND(Table_BDD[[#This Row],[Lvl Entrée]]-Table_BDD[[#This Row],[Lvl Sortie]],1)))</f>
        <v>0.7</v>
      </c>
      <c r="AP102" s="36">
        <f>IF(Table_BDD[[#This Row],[Points]]&gt;0,Table_BDD[[#This Row],[Points]],"")</f>
        <v>0.7</v>
      </c>
      <c r="AQ102" s="36" t="str">
        <f>IF(Table_BDD[[#This Row],[Points]]&lt;0,Table_BDD[[#This Row],[Points]],"")</f>
        <v/>
      </c>
      <c r="AR102" s="36">
        <f>SUM($AO$4:AO102)</f>
        <v>-172.5</v>
      </c>
      <c r="AS102" s="68">
        <f>IF(Table_BDD[[#This Row],[Position]]="","",IF(Table_BDD[[#This Row],[Conformité]]="Conforme",1,0))</f>
        <v>0</v>
      </c>
      <c r="AT102" s="68">
        <f>IF(Table_BDD[[#This Row],[Position]]="","",IF(Table_BDD[[#This Row],[Conformité]]="Non conforme",1,0))</f>
        <v>1</v>
      </c>
      <c r="AU102" s="37" t="s">
        <v>17</v>
      </c>
      <c r="AV102" s="37"/>
      <c r="AW102" s="37"/>
      <c r="AX102" s="37">
        <v>0</v>
      </c>
      <c r="AY102" s="37">
        <v>0</v>
      </c>
      <c r="AZ102" s="37">
        <v>0</v>
      </c>
      <c r="BA102" s="40" t="str">
        <f>IF(Table_BDD[[#This Row],[Position]]="","Sans objet",IF(AND(Table_BDD[[#This Row],[Type]]="sell",Table_BDD[[#This Row],[S / L]]&lt;Table_BDD[[#This Row],[Lvl Entrée]],Table_BDD[[#This Row],[Lvl Sortie]]&lt;=Table_BDD[[#This Row],[S / L]]+2,Table_BDD[[#This Row],[Lvl Sortie]]&lt;Table_BDD[[#This Row],[Lvl Entrée]]-19),"Oui",IF(AND(Table_BDD[[#This Row],[Type]]="buy",Table_BDD[[#This Row],[S / L]]&gt;Table_BDD[[#This Row],[Lvl Entrée]],Table_BDD[[#This Row],[Lvl Sortie]]&gt;=Table_BDD[[#This Row],[S / L]]-2,Table_BDD[[#This Row],[S / L]]&gt;Table_BDD[[#This Row],[Lvl Entrée]]+19),"Oui","Non")))</f>
        <v>Non</v>
      </c>
      <c r="BB102" s="40" t="str">
        <f>IF(Table_BDD[[#This Row],[Position]]="","Sans objet",IF(AND(Table_BDD[[#This Row],[Type]]="sell",Table_BDD[[#This Row],[S / L]]&lt;Table_BDD[[#This Row],[Lvl Entrée]],Table_BDD[[#This Row],[Points]]&gt;=-1),"Oui",IF(AND(Table_BDD[[#This Row],[Type]]="sell",Table_BDD[[#This Row],[S / L]]&gt;Table_BDD[[#This Row],[Lvl Entrée]]),"Non",IF(AND(Table_BDD[[#This Row],[Type]]="buy",Table_BDD[[#This Row],[S / L]]&lt;Table_BDD[[#This Row],[Lvl Entrée]]),"Non",IF(AND(Table_BDD[[#This Row],[Type]]="buy",Table_BDD[[#This Row],[S / L]]&gt;Table_BDD[[#This Row],[Lvl Entrée]],Table_BDD[[#This Row],[Points]]&gt;=-1),"Oui")))))</f>
        <v>Oui</v>
      </c>
      <c r="BC102" s="40" t="str">
        <f>IF(Table_BDD[[#This Row],[Position]]="","Sans objet",IF(Table_BDD[[#This Row],[T / P]]="","Non",IF(AND(Table_BDD[[#This Row],[Type]]="sell",Table_BDD[[#This Row],[Lvl Sortie]]&lt;=Table_BDD[[#This Row],[T / P]]),"Oui",IF(AND(Table_BDD[[#This Row],[Type]]="buy",Table_BDD[[#This Row],[Lvl Sortie]]&gt;=Table_BDD[[#This Row],[T / P]]),"Oui","Non"))))</f>
        <v>Non</v>
      </c>
      <c r="BD102" s="91">
        <f t="array" ref="BD102">IFERROR(INDEX(downloadFile[#All],MATCH(Table_BDD[[#This Row],[Date]],downloadFile[[#All],[Column1]],0),2),BD101)</f>
        <v>1.0867</v>
      </c>
      <c r="BE102" s="89">
        <f>IF(Table_BDD[[#This Row],[Position]]="","",IF(Table_BDD[[#This Row],[Symbole]]="UsaInd",(Table_BDD[[#This Row],[Volume]]*Table_BDD[[#This Row],[Lvl Entrée]])/(Table_BDD[[#This Row],[Equité avant trade]]*Table_BDD[[#This Row],[EUR/USD]]),IF(Table_BDD[[#This Row],[Symbole]]="Ger30",(Table_BDD[[#This Row],[Volume]]*Table_BDD[[#This Row],[Lvl Entrée]])/Table_BDD[[#This Row],[Equité avant trade]],)))</f>
        <v>14.71288006869217</v>
      </c>
      <c r="BF102" s="38">
        <f>IF(Table_BDD[[#This Row],[Position]]="","",IF(Table_BDD[[#This Row],[Conformité]]="Non conforme",0,(MROUND(3*((Table_BDD[[#This Row],[Conviction]]+Table_BDD[[#This Row],[Timing]]+Table_BDD[[#This Row],[Sortie]])+1)-2,1))))</f>
        <v>0</v>
      </c>
      <c r="BG102" s="38" t="str">
        <f>IF(Table_BDD[[#This Row],[Position]]="","",IF(Table_BDD[[#This Row],[Points]]&lt;-5,"--",IF(AND(Table_BDD[[#This Row],[Points]]&gt;=-5,Table_BDD[[#This Row],[Points]]&lt;-1.5),"-",IF(AND(Table_BDD[[#This Row],[Points]]&gt;=-1.5,Table_BDD[[#This Row],[Points]]&lt;1.5),"0",IF(AND(Table_BDD[[#This Row],[Points]]&gt;=1.5,Table_BDD[[#This Row],[Points]]&lt;=70),"+",IF(Table_BDD[[#This Row],[Points]]&gt;70,"++"))))))</f>
        <v>0</v>
      </c>
      <c r="BH102" s="37" t="str">
        <f>IF(Table_BDD[[#This Row],[Position]]="","",IF(Table_BDD[[#This Row],[Points]]&gt;0,"Gagnant",IF(Table_BDD[[#This Row],[Points]]=0,"Flat","Perdant")))</f>
        <v>Gagnant</v>
      </c>
      <c r="BI102" s="40">
        <f>IF(Table_BDD[[#This Row],[Position]]="","",IF(Table_BDD[[#This Row],[Résultat]]="Gagnant",1,0))</f>
        <v>1</v>
      </c>
      <c r="BJ102" s="40">
        <f>IF(Table_BDD[[#This Row],[Position]]="","",IF(Table_BDD[[#This Row],[Résultat]]="Perdant",1,0))</f>
        <v>0</v>
      </c>
      <c r="BK102" s="40"/>
      <c r="BL102" s="145">
        <f>IF(Table_BDD[[#This Row],[T / P]]="","",Table_BDD[[#This Row],[T / P]])</f>
        <v>29275.56</v>
      </c>
      <c r="BM102" s="147"/>
      <c r="BN102" s="147"/>
      <c r="BO102" s="147"/>
      <c r="BP102" s="147"/>
      <c r="BQ102" s="127"/>
    </row>
    <row r="103" spans="1:69" x14ac:dyDescent="0.2">
      <c r="A103" s="93">
        <v>43874.657638888886</v>
      </c>
      <c r="B103" s="94">
        <v>259908737</v>
      </c>
      <c r="C103" s="37" t="s">
        <v>8</v>
      </c>
      <c r="D103" s="37" t="s">
        <v>10</v>
      </c>
      <c r="E103" s="37">
        <v>0.5</v>
      </c>
      <c r="F103" s="95">
        <v>29450.69</v>
      </c>
      <c r="G103" s="95">
        <v>29460.69</v>
      </c>
      <c r="H103" s="95"/>
      <c r="I103" s="93">
        <v>43874.658136574071</v>
      </c>
      <c r="J103" s="95">
        <v>29460.91</v>
      </c>
      <c r="K103" s="95">
        <v>0</v>
      </c>
      <c r="L103" s="95">
        <v>0</v>
      </c>
      <c r="M103" s="32">
        <v>-4.71</v>
      </c>
      <c r="N103" s="148">
        <f>IF(Table_BDD[[#This Row],[Position]]="","",ROW()-3)</f>
        <v>100</v>
      </c>
      <c r="O103" s="32">
        <f>SUM($L$4:M103)</f>
        <v>-83.729999999999961</v>
      </c>
      <c r="P103" s="32">
        <f>Table_BDD[[#This Row],[Equité avant trade]]+Table_BDD[[#This Row],[Profit]]+Table_BDD[[#This Row],[Echange]]</f>
        <v>916.27</v>
      </c>
      <c r="Q103" s="52">
        <f>INT(Table_BDD[[#This Row],[Horodatage cloture]])</f>
        <v>43874</v>
      </c>
      <c r="R103" s="34">
        <f>WEEKNUM(Table_BDD[[#This Row],[Horodatage cloture]],2)</f>
        <v>7</v>
      </c>
      <c r="S103" s="61">
        <f>WEEKDAY(Table_BDD[[#This Row],[Horodatage cloture]])</f>
        <v>5</v>
      </c>
      <c r="T103" s="63">
        <f>HOUR(Table_BDD[[#This Row],[Horodatage cloture]])</f>
        <v>15</v>
      </c>
      <c r="U103" s="68">
        <f>IF(Table_BDD[[#This Row],[Position]]="","",IF(Table_BDD[[#This Row],[Valeur début de journée unique]]&lt;&gt;0,1,0))</f>
        <v>0</v>
      </c>
      <c r="V103" s="68" t="str">
        <f>IF(Table_BDD[[#This Row],[Nb de séance de trading]]=1,COUNTIF(Table_BDD[Date],Table_BDD[[#This Row],[Date]]),"")</f>
        <v/>
      </c>
      <c r="W103" s="33">
        <f>IF(Table_BDD[[#This Row],[Position]]="","",IF(Table_BDD[[#This Row],[Type]]="buy",ROUND(Table_BDD[[#This Row],[Lvl Entrée]]-Table_BDD[[#This Row],[S / L]],1),ROUND(Table_BDD[[#This Row],[S / L]]-Table_BDD[[#This Row],[Lvl Entrée]],1)))</f>
        <v>10</v>
      </c>
      <c r="X103" s="33">
        <f>IF(Table_BDD[[#This Row],[Position]]="","",IF(Table_BDD[[#This Row],[T / P]]=0,200,IF(Table_BDD[[#This Row],[Type]]="buy",ROUND(Table_BDD[[#This Row],[T / P]]-Table_BDD[[#This Row],[Lvl Entrée]],1),ROUND(Table_BDD[[#This Row],[Lvl Entrée]]-Table_BDD[[#This Row],[T / P]],1))))</f>
        <v>200</v>
      </c>
      <c r="Y103" s="34">
        <f>IF(Table_BDD[[#This Row],[Position]]="","",IF(Table_BDD[[#This Row],[Ecart du SL]]&gt;0,ROUND(ABS(Table_BDD[[#This Row],[Ecart du TP]])/ABS(Table_BDD[[#This Row],[Ecart du SL]]),1),ROUND(ABS(Table_BDD[[#This Row],[Ecart du TP]])/10,1)))</f>
        <v>20</v>
      </c>
      <c r="Z103" s="34">
        <f>IF(Table_BDD[[#This Row],[Position]]="","",IF(Table_BDD[[#This Row],[Ecart du SL]]&lt;0,IF(AND(Table_BDD[[#This Row],[Profit]]&gt;0,Table_BDD[[#This Row],[Type]]="sell"),ROUND((Table_BDD[[#This Row],[Lvl Entrée]]-Table_BDD[[#This Row],[Lvl Sortie]])/(10),1),IF(AND(Table_BDD[[#This Row],[Profit]]&gt;0,Table_BDD[[#This Row],[Type]]="buy"),ROUND((Table_BDD[[#This Row],[Lvl Sortie]]-Table_BDD[[#This Row],[Lvl Entrée]])/(10),1),)),IF(AND(Table_BDD[[#This Row],[Profit]]&gt;0,Table_BDD[[#This Row],[Type]]="sell"),ROUND((Table_BDD[[#This Row],[Lvl Entrée]]-Table_BDD[[#This Row],[Lvl Sortie]])/(Table_BDD[[#This Row],[S / L]]-Table_BDD[[#This Row],[Lvl Entrée]]),1),IF(AND(Table_BDD[[#This Row],[Profit]]&gt;0,Table_BDD[[#This Row],[Type]]="buy"),ROUND((Table_BDD[[#This Row],[Lvl Sortie]]-Table_BDD[[#This Row],[Lvl Entrée]])/(Table_BDD[[#This Row],[Lvl Entrée]]-Table_BDD[[#This Row],[S / L]]),1),ROUND(Table_BDD[[#This Row],[Points]]/10,1)))))</f>
        <v>-1</v>
      </c>
      <c r="AA103" s="32">
        <f>IF(Table_BDD[[#This Row],[Position]]="",AA102,Table_BDD[[#This Row],[Equité après trade]]-Table_BDD[[#This Row],[Profit]]-Table_BDD[[#This Row],[Echange]])</f>
        <v>920.98</v>
      </c>
      <c r="AB103" s="149">
        <f>$B$1+SUM($L$4:M103)</f>
        <v>916.27</v>
      </c>
      <c r="AC103" s="150">
        <f>IF(Table_BDD[[#This Row],[Position]]="","",_xlfn.MINIFS(Table_BDD[Horodatage ouverture],Table_BDD[Date],Table_BDD[Date]))</f>
        <v>43874.650868055556</v>
      </c>
      <c r="AD103" s="149">
        <f>VLOOKUP(_xlfn.MINIFS(Table_BDD[Horodatage ouverture],Table_BDD[Date],Table_BDD[Date]),Table_BDD[[Horodatage ouverture]:[Heure derniere valeur]],AA$2)</f>
        <v>920.68000000000006</v>
      </c>
      <c r="AE103" s="149">
        <f>IF(VLOOKUP(_xlfn.MINIFS(Table_BDD[Horodatage ouverture],Table_BDD[Date],Table_BDD[Date]),Table_BDD[[Horodatage ouverture]:[Heure derniere valeur]],AA$2)=Table_BDD[[#This Row],[Equité avant trade]],VLOOKUP(_xlfn.MINIFS(Table_BDD[Horodatage ouverture],Table_BDD[Date],Table_BDD[Date]),Table_BDD[[Horodatage ouverture]:[Heure derniere valeur]],AA$2),0)</f>
        <v>0</v>
      </c>
      <c r="AF103" s="150">
        <f>IF(Table_BDD[[#This Row],[Position]]="","",_xlfn.MAXIFS(Table_BDD[Horodatage ouverture],Table_BDD[Date],Table_BDD[Date]))</f>
        <v>43874.763055555559</v>
      </c>
      <c r="AG103" s="32">
        <f>VLOOKUP(_xlfn.MAXIFS(Table_BDD[Horodatage cloture],Table_BDD[Date],Table_BDD[Date]),Table_BDD[[Horodatage ouverture]:[Heure derniere valeur]],AB$2)</f>
        <v>867.85</v>
      </c>
      <c r="AH103" s="32">
        <f>IF(VLOOKUP(_xlfn.MAXIFS(Table_BDD[Horodatage cloture],Table_BDD[Date],Table_BDD[Date]),Table_BDD[[Horodatage ouverture]:[Heure derniere valeur]],AB$2)=Table_BDD[[#This Row],[Equité après trade]],VLOOKUP(_xlfn.MAXIFS(Table_BDD[Horodatage cloture],Table_BDD[Date],Table_BDD[Date]),Table_BDD[[Horodatage ouverture]:[Heure derniere valeur]],AB$2),0)</f>
        <v>0</v>
      </c>
      <c r="AI103" s="32" t="e">
        <f>IF(Table_BDD[[#This Row],[Valeur fin de journée unique]]=0,#N/A,Table_BDD[[#This Row],[Valeur fin de journée unique]])</f>
        <v>#N/A</v>
      </c>
      <c r="AJ103" s="35">
        <f>IF(Table_BDD[[#This Row],[Position]]="","",(Table_BDD[[#This Row],[Equité après trade]]-Table_BDD[[#This Row],[Equité avant trade]])/Table_BDD[[#This Row],[Equité avant trade]])</f>
        <v>-5.1141175704141634E-3</v>
      </c>
      <c r="AK103" s="35" t="str">
        <f>IFERROR(((INDEX(Table_BDD[[Trade n°]:[Valeur fin de journée unique]],Table_BDD[[#This Row],[Nb de trade du jour]]+Table_BDD[[#This Row],[Trade n°]]-1,21))-Table_BDD[[#This Row],[Valeur début de journée unique]])/Table_BDD[[#This Row],[Valeur début de journée unique]],"")</f>
        <v/>
      </c>
      <c r="AL103" s="32">
        <f>IF(Table_BDD[[#This Row],[Position]]="","",MAX(Table_BDD[[#This Row],[Cumul équité]],AL102))</f>
        <v>1052.8399999999999</v>
      </c>
      <c r="AM103" s="32">
        <f>IF(Table_BDD[[#This Row],[Position]]="","",MIN(Table_BDD[[#This Row],[Cumul équité]],AL102))</f>
        <v>916.27</v>
      </c>
      <c r="AN103" s="97">
        <f>IF(Table_BDD[[#This Row],[Sommet Drawdown]]&gt;AL102,"",Table_BDD[[#This Row],[Creux Drawdown]]/Table_BDD[[#This Row],[Sommet Drawdown]]-1)</f>
        <v>-0.1297158162683788</v>
      </c>
      <c r="AO103" s="36">
        <f>IF(Table_BDD[[#This Row],[Position]]="","",IF(Table_BDD[[#This Row],[Type]]="buy",ROUND(Table_BDD[[#This Row],[Lvl Sortie]]-Table_BDD[[#This Row],[Lvl Entrée]],1),ROUND(Table_BDD[[#This Row],[Lvl Entrée]]-Table_BDD[[#This Row],[Lvl Sortie]],1)))</f>
        <v>-10.199999999999999</v>
      </c>
      <c r="AP103" s="36" t="str">
        <f>IF(Table_BDD[[#This Row],[Points]]&gt;0,Table_BDD[[#This Row],[Points]],"")</f>
        <v/>
      </c>
      <c r="AQ103" s="36">
        <f>IF(Table_BDD[[#This Row],[Points]]&lt;0,Table_BDD[[#This Row],[Points]],"")</f>
        <v>-10.199999999999999</v>
      </c>
      <c r="AR103" s="36">
        <f>SUM($AO$4:AO103)</f>
        <v>-182.7</v>
      </c>
      <c r="AS103" s="68">
        <f>IF(Table_BDD[[#This Row],[Position]]="","",IF(Table_BDD[[#This Row],[Conformité]]="Conforme",1,0))</f>
        <v>0</v>
      </c>
      <c r="AT103" s="68">
        <f>IF(Table_BDD[[#This Row],[Position]]="","",IF(Table_BDD[[#This Row],[Conformité]]="Non conforme",1,0))</f>
        <v>1</v>
      </c>
      <c r="AU103" s="37" t="s">
        <v>17</v>
      </c>
      <c r="AV103" s="37"/>
      <c r="AW103" s="37"/>
      <c r="AX103" s="37">
        <v>0</v>
      </c>
      <c r="AY103" s="37">
        <v>0</v>
      </c>
      <c r="AZ103" s="37">
        <v>0</v>
      </c>
      <c r="BA103" s="40" t="str">
        <f>IF(Table_BDD[[#This Row],[Position]]="","Sans objet",IF(AND(Table_BDD[[#This Row],[Type]]="sell",Table_BDD[[#This Row],[S / L]]&lt;Table_BDD[[#This Row],[Lvl Entrée]],Table_BDD[[#This Row],[Lvl Sortie]]&lt;=Table_BDD[[#This Row],[S / L]]+2,Table_BDD[[#This Row],[Lvl Sortie]]&lt;Table_BDD[[#This Row],[Lvl Entrée]]-19),"Oui",IF(AND(Table_BDD[[#This Row],[Type]]="buy",Table_BDD[[#This Row],[S / L]]&gt;Table_BDD[[#This Row],[Lvl Entrée]],Table_BDD[[#This Row],[Lvl Sortie]]&gt;=Table_BDD[[#This Row],[S / L]]-2,Table_BDD[[#This Row],[S / L]]&gt;Table_BDD[[#This Row],[Lvl Entrée]]+19),"Oui","Non")))</f>
        <v>Non</v>
      </c>
      <c r="BB103" s="40" t="str">
        <f>IF(Table_BDD[[#This Row],[Position]]="","Sans objet",IF(AND(Table_BDD[[#This Row],[Type]]="sell",Table_BDD[[#This Row],[S / L]]&lt;Table_BDD[[#This Row],[Lvl Entrée]],Table_BDD[[#This Row],[Points]]&gt;=-1),"Oui",IF(AND(Table_BDD[[#This Row],[Type]]="sell",Table_BDD[[#This Row],[S / L]]&gt;Table_BDD[[#This Row],[Lvl Entrée]]),"Non",IF(AND(Table_BDD[[#This Row],[Type]]="buy",Table_BDD[[#This Row],[S / L]]&lt;Table_BDD[[#This Row],[Lvl Entrée]]),"Non",IF(AND(Table_BDD[[#This Row],[Type]]="buy",Table_BDD[[#This Row],[S / L]]&gt;Table_BDD[[#This Row],[Lvl Entrée]],Table_BDD[[#This Row],[Points]]&gt;=-1),"Oui")))))</f>
        <v>Non</v>
      </c>
      <c r="BC103" s="40" t="str">
        <f>IF(Table_BDD[[#This Row],[Position]]="","Sans objet",IF(Table_BDD[[#This Row],[T / P]]="","Non",IF(AND(Table_BDD[[#This Row],[Type]]="sell",Table_BDD[[#This Row],[Lvl Sortie]]&lt;=Table_BDD[[#This Row],[T / P]]),"Oui",IF(AND(Table_BDD[[#This Row],[Type]]="buy",Table_BDD[[#This Row],[Lvl Sortie]]&gt;=Table_BDD[[#This Row],[T / P]]),"Oui","Non"))))</f>
        <v>Non</v>
      </c>
      <c r="BD103" s="91">
        <f t="array" ref="BD103">IFERROR(INDEX(downloadFile[#All],MATCH(Table_BDD[[#This Row],[Date]],downloadFile[[#All],[Column1]],0),2),BD102)</f>
        <v>1.0867</v>
      </c>
      <c r="BE103" s="89">
        <f>IF(Table_BDD[[#This Row],[Position]]="","",IF(Table_BDD[[#This Row],[Symbole]]="UsaInd",(Table_BDD[[#This Row],[Volume]]*Table_BDD[[#This Row],[Lvl Entrée]])/(Table_BDD[[#This Row],[Equité avant trade]]*Table_BDD[[#This Row],[EUR/USD]]),IF(Table_BDD[[#This Row],[Symbole]]="Ger30",(Table_BDD[[#This Row],[Volume]]*Table_BDD[[#This Row],[Lvl Entrée]])/Table_BDD[[#This Row],[Equité avant trade]],)))</f>
        <v>14.713148300306088</v>
      </c>
      <c r="BF103" s="38">
        <f>IF(Table_BDD[[#This Row],[Position]]="","",IF(Table_BDD[[#This Row],[Conformité]]="Non conforme",0,(MROUND(3*((Table_BDD[[#This Row],[Conviction]]+Table_BDD[[#This Row],[Timing]]+Table_BDD[[#This Row],[Sortie]])+1)-2,1))))</f>
        <v>0</v>
      </c>
      <c r="BG103" s="38" t="str">
        <f>IF(Table_BDD[[#This Row],[Position]]="","",IF(Table_BDD[[#This Row],[Points]]&lt;-5,"--",IF(AND(Table_BDD[[#This Row],[Points]]&gt;=-5,Table_BDD[[#This Row],[Points]]&lt;-1.5),"-",IF(AND(Table_BDD[[#This Row],[Points]]&gt;=-1.5,Table_BDD[[#This Row],[Points]]&lt;1.5),"0",IF(AND(Table_BDD[[#This Row],[Points]]&gt;=1.5,Table_BDD[[#This Row],[Points]]&lt;=70),"+",IF(Table_BDD[[#This Row],[Points]]&gt;70,"++"))))))</f>
        <v>--</v>
      </c>
      <c r="BH103" s="37" t="str">
        <f>IF(Table_BDD[[#This Row],[Position]]="","",IF(Table_BDD[[#This Row],[Points]]&gt;0,"Gagnant",IF(Table_BDD[[#This Row],[Points]]=0,"Flat","Perdant")))</f>
        <v>Perdant</v>
      </c>
      <c r="BI103" s="40">
        <f>IF(Table_BDD[[#This Row],[Position]]="","",IF(Table_BDD[[#This Row],[Résultat]]="Gagnant",1,0))</f>
        <v>0</v>
      </c>
      <c r="BJ103" s="40">
        <f>IF(Table_BDD[[#This Row],[Position]]="","",IF(Table_BDD[[#This Row],[Résultat]]="Perdant",1,0))</f>
        <v>1</v>
      </c>
      <c r="BK103" s="40"/>
      <c r="BL103" s="145" t="str">
        <f>IF(Table_BDD[[#This Row],[T / P]]="","",Table_BDD[[#This Row],[T / P]])</f>
        <v/>
      </c>
      <c r="BM103" s="147"/>
      <c r="BN103" s="147"/>
      <c r="BO103" s="147"/>
      <c r="BP103" s="147"/>
      <c r="BQ103" s="127"/>
    </row>
    <row r="104" spans="1:69" x14ac:dyDescent="0.2">
      <c r="A104" s="93">
        <v>43874.658379629633</v>
      </c>
      <c r="B104" s="94">
        <v>259908869</v>
      </c>
      <c r="C104" s="37" t="s">
        <v>8</v>
      </c>
      <c r="D104" s="37" t="s">
        <v>10</v>
      </c>
      <c r="E104" s="37">
        <v>0.5</v>
      </c>
      <c r="F104" s="95">
        <v>29446.82</v>
      </c>
      <c r="G104" s="95">
        <v>29456.82</v>
      </c>
      <c r="H104" s="95">
        <v>29276.82</v>
      </c>
      <c r="I104" s="93">
        <v>43874.661226851851</v>
      </c>
      <c r="J104" s="95">
        <v>29445.81</v>
      </c>
      <c r="K104" s="95">
        <v>0</v>
      </c>
      <c r="L104" s="95">
        <v>0</v>
      </c>
      <c r="M104" s="32">
        <v>0.47</v>
      </c>
      <c r="N104" s="148">
        <f>IF(Table_BDD[[#This Row],[Position]]="","",ROW()-3)</f>
        <v>101</v>
      </c>
      <c r="O104" s="32">
        <f>SUM($L$4:M104)</f>
        <v>-83.259999999999962</v>
      </c>
      <c r="P104" s="32">
        <f>Table_BDD[[#This Row],[Equité avant trade]]+Table_BDD[[#This Row],[Profit]]+Table_BDD[[#This Row],[Echange]]</f>
        <v>916.74</v>
      </c>
      <c r="Q104" s="52">
        <f>INT(Table_BDD[[#This Row],[Horodatage cloture]])</f>
        <v>43874</v>
      </c>
      <c r="R104" s="34">
        <f>WEEKNUM(Table_BDD[[#This Row],[Horodatage cloture]],2)</f>
        <v>7</v>
      </c>
      <c r="S104" s="61">
        <f>WEEKDAY(Table_BDD[[#This Row],[Horodatage cloture]])</f>
        <v>5</v>
      </c>
      <c r="T104" s="63">
        <f>HOUR(Table_BDD[[#This Row],[Horodatage cloture]])</f>
        <v>15</v>
      </c>
      <c r="U104" s="68">
        <f>IF(Table_BDD[[#This Row],[Position]]="","",IF(Table_BDD[[#This Row],[Valeur début de journée unique]]&lt;&gt;0,1,0))</f>
        <v>0</v>
      </c>
      <c r="V104" s="68" t="str">
        <f>IF(Table_BDD[[#This Row],[Nb de séance de trading]]=1,COUNTIF(Table_BDD[Date],Table_BDD[[#This Row],[Date]]),"")</f>
        <v/>
      </c>
      <c r="W104" s="33">
        <f>IF(Table_BDD[[#This Row],[Position]]="","",IF(Table_BDD[[#This Row],[Type]]="buy",ROUND(Table_BDD[[#This Row],[Lvl Entrée]]-Table_BDD[[#This Row],[S / L]],1),ROUND(Table_BDD[[#This Row],[S / L]]-Table_BDD[[#This Row],[Lvl Entrée]],1)))</f>
        <v>10</v>
      </c>
      <c r="X104" s="33">
        <f>IF(Table_BDD[[#This Row],[Position]]="","",IF(Table_BDD[[#This Row],[T / P]]=0,200,IF(Table_BDD[[#This Row],[Type]]="buy",ROUND(Table_BDD[[#This Row],[T / P]]-Table_BDD[[#This Row],[Lvl Entrée]],1),ROUND(Table_BDD[[#This Row],[Lvl Entrée]]-Table_BDD[[#This Row],[T / P]],1))))</f>
        <v>170</v>
      </c>
      <c r="Y104" s="34">
        <f>IF(Table_BDD[[#This Row],[Position]]="","",IF(Table_BDD[[#This Row],[Ecart du SL]]&gt;0,ROUND(ABS(Table_BDD[[#This Row],[Ecart du TP]])/ABS(Table_BDD[[#This Row],[Ecart du SL]]),1),ROUND(ABS(Table_BDD[[#This Row],[Ecart du TP]])/10,1)))</f>
        <v>17</v>
      </c>
      <c r="Z104" s="34">
        <f>IF(Table_BDD[[#This Row],[Position]]="","",IF(Table_BDD[[#This Row],[Ecart du SL]]&lt;0,IF(AND(Table_BDD[[#This Row],[Profit]]&gt;0,Table_BDD[[#This Row],[Type]]="sell"),ROUND((Table_BDD[[#This Row],[Lvl Entrée]]-Table_BDD[[#This Row],[Lvl Sortie]])/(10),1),IF(AND(Table_BDD[[#This Row],[Profit]]&gt;0,Table_BDD[[#This Row],[Type]]="buy"),ROUND((Table_BDD[[#This Row],[Lvl Sortie]]-Table_BDD[[#This Row],[Lvl Entrée]])/(10),1),)),IF(AND(Table_BDD[[#This Row],[Profit]]&gt;0,Table_BDD[[#This Row],[Type]]="sell"),ROUND((Table_BDD[[#This Row],[Lvl Entrée]]-Table_BDD[[#This Row],[Lvl Sortie]])/(Table_BDD[[#This Row],[S / L]]-Table_BDD[[#This Row],[Lvl Entrée]]),1),IF(AND(Table_BDD[[#This Row],[Profit]]&gt;0,Table_BDD[[#This Row],[Type]]="buy"),ROUND((Table_BDD[[#This Row],[Lvl Sortie]]-Table_BDD[[#This Row],[Lvl Entrée]])/(Table_BDD[[#This Row],[Lvl Entrée]]-Table_BDD[[#This Row],[S / L]]),1),ROUND(Table_BDD[[#This Row],[Points]]/10,1)))))</f>
        <v>0.1</v>
      </c>
      <c r="AA104" s="32">
        <f>IF(Table_BDD[[#This Row],[Position]]="",AA103,Table_BDD[[#This Row],[Equité après trade]]-Table_BDD[[#This Row],[Profit]]-Table_BDD[[#This Row],[Echange]])</f>
        <v>916.27</v>
      </c>
      <c r="AB104" s="149">
        <f>$B$1+SUM($L$4:M104)</f>
        <v>916.74</v>
      </c>
      <c r="AC104" s="150">
        <f>IF(Table_BDD[[#This Row],[Position]]="","",_xlfn.MINIFS(Table_BDD[Horodatage ouverture],Table_BDD[Date],Table_BDD[Date]))</f>
        <v>43874.650868055556</v>
      </c>
      <c r="AD104" s="149">
        <f>VLOOKUP(_xlfn.MINIFS(Table_BDD[Horodatage ouverture],Table_BDD[Date],Table_BDD[Date]),Table_BDD[[Horodatage ouverture]:[Heure derniere valeur]],AA$2)</f>
        <v>920.68000000000006</v>
      </c>
      <c r="AE104" s="149">
        <f>IF(VLOOKUP(_xlfn.MINIFS(Table_BDD[Horodatage ouverture],Table_BDD[Date],Table_BDD[Date]),Table_BDD[[Horodatage ouverture]:[Heure derniere valeur]],AA$2)=Table_BDD[[#This Row],[Equité avant trade]],VLOOKUP(_xlfn.MINIFS(Table_BDD[Horodatage ouverture],Table_BDD[Date],Table_BDD[Date]),Table_BDD[[Horodatage ouverture]:[Heure derniere valeur]],AA$2),0)</f>
        <v>0</v>
      </c>
      <c r="AF104" s="150">
        <f>IF(Table_BDD[[#This Row],[Position]]="","",_xlfn.MAXIFS(Table_BDD[Horodatage ouverture],Table_BDD[Date],Table_BDD[Date]))</f>
        <v>43874.763055555559</v>
      </c>
      <c r="AG104" s="32">
        <f>VLOOKUP(_xlfn.MAXIFS(Table_BDD[Horodatage cloture],Table_BDD[Date],Table_BDD[Date]),Table_BDD[[Horodatage ouverture]:[Heure derniere valeur]],AB$2)</f>
        <v>867.85</v>
      </c>
      <c r="AH104" s="32">
        <f>IF(VLOOKUP(_xlfn.MAXIFS(Table_BDD[Horodatage cloture],Table_BDD[Date],Table_BDD[Date]),Table_BDD[[Horodatage ouverture]:[Heure derniere valeur]],AB$2)=Table_BDD[[#This Row],[Equité après trade]],VLOOKUP(_xlfn.MAXIFS(Table_BDD[Horodatage cloture],Table_BDD[Date],Table_BDD[Date]),Table_BDD[[Horodatage ouverture]:[Heure derniere valeur]],AB$2),0)</f>
        <v>0</v>
      </c>
      <c r="AI104" s="32" t="e">
        <f>IF(Table_BDD[[#This Row],[Valeur fin de journée unique]]=0,#N/A,Table_BDD[[#This Row],[Valeur fin de journée unique]])</f>
        <v>#N/A</v>
      </c>
      <c r="AJ104" s="35">
        <f>IF(Table_BDD[[#This Row],[Position]]="","",(Table_BDD[[#This Row],[Equité après trade]]-Table_BDD[[#This Row],[Equité avant trade]])/Table_BDD[[#This Row],[Equité avant trade]])</f>
        <v>5.1294923985291158E-4</v>
      </c>
      <c r="AK104" s="35" t="str">
        <f>IFERROR(((INDEX(Table_BDD[[Trade n°]:[Valeur fin de journée unique]],Table_BDD[[#This Row],[Nb de trade du jour]]+Table_BDD[[#This Row],[Trade n°]]-1,21))-Table_BDD[[#This Row],[Valeur début de journée unique]])/Table_BDD[[#This Row],[Valeur début de journée unique]],"")</f>
        <v/>
      </c>
      <c r="AL104" s="32">
        <f>IF(Table_BDD[[#This Row],[Position]]="","",MAX(Table_BDD[[#This Row],[Cumul équité]],AL103))</f>
        <v>1052.8399999999999</v>
      </c>
      <c r="AM104" s="32">
        <f>IF(Table_BDD[[#This Row],[Position]]="","",MIN(Table_BDD[[#This Row],[Cumul équité]],AL103))</f>
        <v>916.74</v>
      </c>
      <c r="AN104" s="97">
        <f>IF(Table_BDD[[#This Row],[Sommet Drawdown]]&gt;AL103,"",Table_BDD[[#This Row],[Creux Drawdown]]/Table_BDD[[#This Row],[Sommet Drawdown]]-1)</f>
        <v>-0.12926940465787762</v>
      </c>
      <c r="AO104" s="36">
        <f>IF(Table_BDD[[#This Row],[Position]]="","",IF(Table_BDD[[#This Row],[Type]]="buy",ROUND(Table_BDD[[#This Row],[Lvl Sortie]]-Table_BDD[[#This Row],[Lvl Entrée]],1),ROUND(Table_BDD[[#This Row],[Lvl Entrée]]-Table_BDD[[#This Row],[Lvl Sortie]],1)))</f>
        <v>1</v>
      </c>
      <c r="AP104" s="36">
        <f>IF(Table_BDD[[#This Row],[Points]]&gt;0,Table_BDD[[#This Row],[Points]],"")</f>
        <v>1</v>
      </c>
      <c r="AQ104" s="36" t="str">
        <f>IF(Table_BDD[[#This Row],[Points]]&lt;0,Table_BDD[[#This Row],[Points]],"")</f>
        <v/>
      </c>
      <c r="AR104" s="36">
        <f>SUM($AO$4:AO104)</f>
        <v>-181.7</v>
      </c>
      <c r="AS104" s="68">
        <f>IF(Table_BDD[[#This Row],[Position]]="","",IF(Table_BDD[[#This Row],[Conformité]]="Conforme",1,0))</f>
        <v>0</v>
      </c>
      <c r="AT104" s="68">
        <f>IF(Table_BDD[[#This Row],[Position]]="","",IF(Table_BDD[[#This Row],[Conformité]]="Non conforme",1,0))</f>
        <v>1</v>
      </c>
      <c r="AU104" s="37" t="s">
        <v>17</v>
      </c>
      <c r="AV104" s="37"/>
      <c r="AW104" s="37"/>
      <c r="AX104" s="37">
        <v>0</v>
      </c>
      <c r="AY104" s="37">
        <v>0</v>
      </c>
      <c r="AZ104" s="37">
        <v>0</v>
      </c>
      <c r="BA104" s="40" t="str">
        <f>IF(Table_BDD[[#This Row],[Position]]="","Sans objet",IF(AND(Table_BDD[[#This Row],[Type]]="sell",Table_BDD[[#This Row],[S / L]]&lt;Table_BDD[[#This Row],[Lvl Entrée]],Table_BDD[[#This Row],[Lvl Sortie]]&lt;=Table_BDD[[#This Row],[S / L]]+2,Table_BDD[[#This Row],[Lvl Sortie]]&lt;Table_BDD[[#This Row],[Lvl Entrée]]-19),"Oui",IF(AND(Table_BDD[[#This Row],[Type]]="buy",Table_BDD[[#This Row],[S / L]]&gt;Table_BDD[[#This Row],[Lvl Entrée]],Table_BDD[[#This Row],[Lvl Sortie]]&gt;=Table_BDD[[#This Row],[S / L]]-2,Table_BDD[[#This Row],[S / L]]&gt;Table_BDD[[#This Row],[Lvl Entrée]]+19),"Oui","Non")))</f>
        <v>Non</v>
      </c>
      <c r="BB104" s="40" t="str">
        <f>IF(Table_BDD[[#This Row],[Position]]="","Sans objet",IF(AND(Table_BDD[[#This Row],[Type]]="sell",Table_BDD[[#This Row],[S / L]]&lt;Table_BDD[[#This Row],[Lvl Entrée]],Table_BDD[[#This Row],[Points]]&gt;=-1),"Oui",IF(AND(Table_BDD[[#This Row],[Type]]="sell",Table_BDD[[#This Row],[S / L]]&gt;Table_BDD[[#This Row],[Lvl Entrée]]),"Non",IF(AND(Table_BDD[[#This Row],[Type]]="buy",Table_BDD[[#This Row],[S / L]]&lt;Table_BDD[[#This Row],[Lvl Entrée]]),"Non",IF(AND(Table_BDD[[#This Row],[Type]]="buy",Table_BDD[[#This Row],[S / L]]&gt;Table_BDD[[#This Row],[Lvl Entrée]],Table_BDD[[#This Row],[Points]]&gt;=-1),"Oui")))))</f>
        <v>Non</v>
      </c>
      <c r="BC104" s="40" t="str">
        <f>IF(Table_BDD[[#This Row],[Position]]="","Sans objet",IF(Table_BDD[[#This Row],[T / P]]="","Non",IF(AND(Table_BDD[[#This Row],[Type]]="sell",Table_BDD[[#This Row],[Lvl Sortie]]&lt;=Table_BDD[[#This Row],[T / P]]),"Oui",IF(AND(Table_BDD[[#This Row],[Type]]="buy",Table_BDD[[#This Row],[Lvl Sortie]]&gt;=Table_BDD[[#This Row],[T / P]]),"Oui","Non"))))</f>
        <v>Non</v>
      </c>
      <c r="BD104" s="91">
        <f t="array" ref="BD104">IFERROR(INDEX(downloadFile[#All],MATCH(Table_BDD[[#This Row],[Date]],downloadFile[[#All],[Column1]],0),2),BD103)</f>
        <v>1.0867</v>
      </c>
      <c r="BE104" s="89">
        <f>IF(Table_BDD[[#This Row],[Position]]="","",IF(Table_BDD[[#This Row],[Symbole]]="UsaInd",(Table_BDD[[#This Row],[Volume]]*Table_BDD[[#This Row],[Lvl Entrée]])/(Table_BDD[[#This Row],[Equité avant trade]]*Table_BDD[[#This Row],[EUR/USD]]),IF(Table_BDD[[#This Row],[Symbole]]="Ger30",(Table_BDD[[#This Row],[Volume]]*Table_BDD[[#This Row],[Lvl Entrée]])/Table_BDD[[#This Row],[Equité avant trade]],)))</f>
        <v>14.786836523502382</v>
      </c>
      <c r="BF104" s="38">
        <f>IF(Table_BDD[[#This Row],[Position]]="","",IF(Table_BDD[[#This Row],[Conformité]]="Non conforme",0,(MROUND(3*((Table_BDD[[#This Row],[Conviction]]+Table_BDD[[#This Row],[Timing]]+Table_BDD[[#This Row],[Sortie]])+1)-2,1))))</f>
        <v>0</v>
      </c>
      <c r="BG104" s="38" t="str">
        <f>IF(Table_BDD[[#This Row],[Position]]="","",IF(Table_BDD[[#This Row],[Points]]&lt;-5,"--",IF(AND(Table_BDD[[#This Row],[Points]]&gt;=-5,Table_BDD[[#This Row],[Points]]&lt;-1.5),"-",IF(AND(Table_BDD[[#This Row],[Points]]&gt;=-1.5,Table_BDD[[#This Row],[Points]]&lt;1.5),"0",IF(AND(Table_BDD[[#This Row],[Points]]&gt;=1.5,Table_BDD[[#This Row],[Points]]&lt;=70),"+",IF(Table_BDD[[#This Row],[Points]]&gt;70,"++"))))))</f>
        <v>0</v>
      </c>
      <c r="BH104" s="37" t="str">
        <f>IF(Table_BDD[[#This Row],[Position]]="","",IF(Table_BDD[[#This Row],[Points]]&gt;0,"Gagnant",IF(Table_BDD[[#This Row],[Points]]=0,"Flat","Perdant")))</f>
        <v>Gagnant</v>
      </c>
      <c r="BI104" s="40">
        <f>IF(Table_BDD[[#This Row],[Position]]="","",IF(Table_BDD[[#This Row],[Résultat]]="Gagnant",1,0))</f>
        <v>1</v>
      </c>
      <c r="BJ104" s="40">
        <f>IF(Table_BDD[[#This Row],[Position]]="","",IF(Table_BDD[[#This Row],[Résultat]]="Perdant",1,0))</f>
        <v>0</v>
      </c>
      <c r="BK104" s="40"/>
      <c r="BL104" s="145">
        <f>IF(Table_BDD[[#This Row],[T / P]]="","",Table_BDD[[#This Row],[T / P]])</f>
        <v>29276.82</v>
      </c>
      <c r="BM104" s="147"/>
      <c r="BN104" s="147"/>
      <c r="BO104" s="147"/>
      <c r="BP104" s="147"/>
      <c r="BQ104" s="127"/>
    </row>
    <row r="105" spans="1:69" x14ac:dyDescent="0.2">
      <c r="A105" s="93">
        <v>43874.665358796294</v>
      </c>
      <c r="B105" s="94">
        <v>259910642</v>
      </c>
      <c r="C105" s="37" t="s">
        <v>8</v>
      </c>
      <c r="D105" s="37" t="s">
        <v>10</v>
      </c>
      <c r="E105" s="37">
        <v>0.5</v>
      </c>
      <c r="F105" s="95">
        <v>29414.81</v>
      </c>
      <c r="G105" s="95">
        <v>29413.31</v>
      </c>
      <c r="H105" s="95">
        <v>29214.81</v>
      </c>
      <c r="I105" s="93">
        <v>43874.677129629628</v>
      </c>
      <c r="J105" s="95">
        <v>29413.62</v>
      </c>
      <c r="K105" s="95">
        <v>0</v>
      </c>
      <c r="L105" s="95">
        <v>0</v>
      </c>
      <c r="M105" s="32">
        <v>0.55000000000000004</v>
      </c>
      <c r="N105" s="148">
        <f>IF(Table_BDD[[#This Row],[Position]]="","",ROW()-3)</f>
        <v>102</v>
      </c>
      <c r="O105" s="32">
        <f>SUM($L$4:M105)</f>
        <v>-82.709999999999965</v>
      </c>
      <c r="P105" s="32">
        <f>Table_BDD[[#This Row],[Equité avant trade]]+Table_BDD[[#This Row],[Profit]]+Table_BDD[[#This Row],[Echange]]</f>
        <v>917.29000000000008</v>
      </c>
      <c r="Q105" s="52">
        <f>INT(Table_BDD[[#This Row],[Horodatage cloture]])</f>
        <v>43874</v>
      </c>
      <c r="R105" s="34">
        <f>WEEKNUM(Table_BDD[[#This Row],[Horodatage cloture]],2)</f>
        <v>7</v>
      </c>
      <c r="S105" s="61">
        <f>WEEKDAY(Table_BDD[[#This Row],[Horodatage cloture]])</f>
        <v>5</v>
      </c>
      <c r="T105" s="63">
        <f>HOUR(Table_BDD[[#This Row],[Horodatage cloture]])</f>
        <v>16</v>
      </c>
      <c r="U105" s="68">
        <f>IF(Table_BDD[[#This Row],[Position]]="","",IF(Table_BDD[[#This Row],[Valeur début de journée unique]]&lt;&gt;0,1,0))</f>
        <v>0</v>
      </c>
      <c r="V105" s="68" t="str">
        <f>IF(Table_BDD[[#This Row],[Nb de séance de trading]]=1,COUNTIF(Table_BDD[Date],Table_BDD[[#This Row],[Date]]),"")</f>
        <v/>
      </c>
      <c r="W105" s="33">
        <f>IF(Table_BDD[[#This Row],[Position]]="","",IF(Table_BDD[[#This Row],[Type]]="buy",ROUND(Table_BDD[[#This Row],[Lvl Entrée]]-Table_BDD[[#This Row],[S / L]],1),ROUND(Table_BDD[[#This Row],[S / L]]-Table_BDD[[#This Row],[Lvl Entrée]],1)))</f>
        <v>-1.5</v>
      </c>
      <c r="X105" s="33">
        <f>IF(Table_BDD[[#This Row],[Position]]="","",IF(Table_BDD[[#This Row],[T / P]]=0,200,IF(Table_BDD[[#This Row],[Type]]="buy",ROUND(Table_BDD[[#This Row],[T / P]]-Table_BDD[[#This Row],[Lvl Entrée]],1),ROUND(Table_BDD[[#This Row],[Lvl Entrée]]-Table_BDD[[#This Row],[T / P]],1))))</f>
        <v>200</v>
      </c>
      <c r="Y105" s="34">
        <f>IF(Table_BDD[[#This Row],[Position]]="","",IF(Table_BDD[[#This Row],[Ecart du SL]]&gt;0,ROUND(ABS(Table_BDD[[#This Row],[Ecart du TP]])/ABS(Table_BDD[[#This Row],[Ecart du SL]]),1),ROUND(ABS(Table_BDD[[#This Row],[Ecart du TP]])/10,1)))</f>
        <v>20</v>
      </c>
      <c r="Z105" s="34">
        <f>IF(Table_BDD[[#This Row],[Position]]="","",IF(Table_BDD[[#This Row],[Ecart du SL]]&lt;0,IF(AND(Table_BDD[[#This Row],[Profit]]&gt;0,Table_BDD[[#This Row],[Type]]="sell"),ROUND((Table_BDD[[#This Row],[Lvl Entrée]]-Table_BDD[[#This Row],[Lvl Sortie]])/(10),1),IF(AND(Table_BDD[[#This Row],[Profit]]&gt;0,Table_BDD[[#This Row],[Type]]="buy"),ROUND((Table_BDD[[#This Row],[Lvl Sortie]]-Table_BDD[[#This Row],[Lvl Entrée]])/(10),1),)),IF(AND(Table_BDD[[#This Row],[Profit]]&gt;0,Table_BDD[[#This Row],[Type]]="sell"),ROUND((Table_BDD[[#This Row],[Lvl Entrée]]-Table_BDD[[#This Row],[Lvl Sortie]])/(Table_BDD[[#This Row],[S / L]]-Table_BDD[[#This Row],[Lvl Entrée]]),1),IF(AND(Table_BDD[[#This Row],[Profit]]&gt;0,Table_BDD[[#This Row],[Type]]="buy"),ROUND((Table_BDD[[#This Row],[Lvl Sortie]]-Table_BDD[[#This Row],[Lvl Entrée]])/(Table_BDD[[#This Row],[Lvl Entrée]]-Table_BDD[[#This Row],[S / L]]),1),ROUND(Table_BDD[[#This Row],[Points]]/10,1)))))</f>
        <v>0.1</v>
      </c>
      <c r="AA105" s="32">
        <f>IF(Table_BDD[[#This Row],[Position]]="",AA104,Table_BDD[[#This Row],[Equité après trade]]-Table_BDD[[#This Row],[Profit]]-Table_BDD[[#This Row],[Echange]])</f>
        <v>916.74000000000012</v>
      </c>
      <c r="AB105" s="149">
        <f>$B$1+SUM($L$4:M105)</f>
        <v>917.29000000000008</v>
      </c>
      <c r="AC105" s="150">
        <f>IF(Table_BDD[[#This Row],[Position]]="","",_xlfn.MINIFS(Table_BDD[Horodatage ouverture],Table_BDD[Date],Table_BDD[Date]))</f>
        <v>43874.650868055556</v>
      </c>
      <c r="AD105" s="149">
        <f>VLOOKUP(_xlfn.MINIFS(Table_BDD[Horodatage ouverture],Table_BDD[Date],Table_BDD[Date]),Table_BDD[[Horodatage ouverture]:[Heure derniere valeur]],AA$2)</f>
        <v>920.68000000000006</v>
      </c>
      <c r="AE105" s="149">
        <f>IF(VLOOKUP(_xlfn.MINIFS(Table_BDD[Horodatage ouverture],Table_BDD[Date],Table_BDD[Date]),Table_BDD[[Horodatage ouverture]:[Heure derniere valeur]],AA$2)=Table_BDD[[#This Row],[Equité avant trade]],VLOOKUP(_xlfn.MINIFS(Table_BDD[Horodatage ouverture],Table_BDD[Date],Table_BDD[Date]),Table_BDD[[Horodatage ouverture]:[Heure derniere valeur]],AA$2),0)</f>
        <v>0</v>
      </c>
      <c r="AF105" s="150">
        <f>IF(Table_BDD[[#This Row],[Position]]="","",_xlfn.MAXIFS(Table_BDD[Horodatage ouverture],Table_BDD[Date],Table_BDD[Date]))</f>
        <v>43874.763055555559</v>
      </c>
      <c r="AG105" s="32">
        <f>VLOOKUP(_xlfn.MAXIFS(Table_BDD[Horodatage cloture],Table_BDD[Date],Table_BDD[Date]),Table_BDD[[Horodatage ouverture]:[Heure derniere valeur]],AB$2)</f>
        <v>867.85</v>
      </c>
      <c r="AH105" s="32">
        <f>IF(VLOOKUP(_xlfn.MAXIFS(Table_BDD[Horodatage cloture],Table_BDD[Date],Table_BDD[Date]),Table_BDD[[Horodatage ouverture]:[Heure derniere valeur]],AB$2)=Table_BDD[[#This Row],[Equité après trade]],VLOOKUP(_xlfn.MAXIFS(Table_BDD[Horodatage cloture],Table_BDD[Date],Table_BDD[Date]),Table_BDD[[Horodatage ouverture]:[Heure derniere valeur]],AB$2),0)</f>
        <v>0</v>
      </c>
      <c r="AI105" s="32" t="e">
        <f>IF(Table_BDD[[#This Row],[Valeur fin de journée unique]]=0,#N/A,Table_BDD[[#This Row],[Valeur fin de journée unique]])</f>
        <v>#N/A</v>
      </c>
      <c r="AJ105" s="35">
        <f>IF(Table_BDD[[#This Row],[Position]]="","",(Table_BDD[[#This Row],[Equité après trade]]-Table_BDD[[#This Row],[Equité avant trade]])/Table_BDD[[#This Row],[Equité avant trade]])</f>
        <v>5.9995200383964318E-4</v>
      </c>
      <c r="AK105" s="35" t="str">
        <f>IFERROR(((INDEX(Table_BDD[[Trade n°]:[Valeur fin de journée unique]],Table_BDD[[#This Row],[Nb de trade du jour]]+Table_BDD[[#This Row],[Trade n°]]-1,21))-Table_BDD[[#This Row],[Valeur début de journée unique]])/Table_BDD[[#This Row],[Valeur début de journée unique]],"")</f>
        <v/>
      </c>
      <c r="AL105" s="32">
        <f>IF(Table_BDD[[#This Row],[Position]]="","",MAX(Table_BDD[[#This Row],[Cumul équité]],AL104))</f>
        <v>1052.8399999999999</v>
      </c>
      <c r="AM105" s="32">
        <f>IF(Table_BDD[[#This Row],[Position]]="","",MIN(Table_BDD[[#This Row],[Cumul équité]],AL104))</f>
        <v>917.29000000000008</v>
      </c>
      <c r="AN105" s="97">
        <f>IF(Table_BDD[[#This Row],[Sommet Drawdown]]&gt;AL104,"",Table_BDD[[#This Row],[Creux Drawdown]]/Table_BDD[[#This Row],[Sommet Drawdown]]-1)</f>
        <v>-0.12874700809239759</v>
      </c>
      <c r="AO105" s="36">
        <f>IF(Table_BDD[[#This Row],[Position]]="","",IF(Table_BDD[[#This Row],[Type]]="buy",ROUND(Table_BDD[[#This Row],[Lvl Sortie]]-Table_BDD[[#This Row],[Lvl Entrée]],1),ROUND(Table_BDD[[#This Row],[Lvl Entrée]]-Table_BDD[[#This Row],[Lvl Sortie]],1)))</f>
        <v>1.2</v>
      </c>
      <c r="AP105" s="36">
        <f>IF(Table_BDD[[#This Row],[Points]]&gt;0,Table_BDD[[#This Row],[Points]],"")</f>
        <v>1.2</v>
      </c>
      <c r="AQ105" s="36" t="str">
        <f>IF(Table_BDD[[#This Row],[Points]]&lt;0,Table_BDD[[#This Row],[Points]],"")</f>
        <v/>
      </c>
      <c r="AR105" s="36">
        <f>SUM($AO$4:AO105)</f>
        <v>-180.5</v>
      </c>
      <c r="AS105" s="68">
        <f>IF(Table_BDD[[#This Row],[Position]]="","",IF(Table_BDD[[#This Row],[Conformité]]="Conforme",1,0))</f>
        <v>0</v>
      </c>
      <c r="AT105" s="68">
        <f>IF(Table_BDD[[#This Row],[Position]]="","",IF(Table_BDD[[#This Row],[Conformité]]="Non conforme",1,0))</f>
        <v>1</v>
      </c>
      <c r="AU105" s="37" t="s">
        <v>17</v>
      </c>
      <c r="AV105" s="37"/>
      <c r="AW105" s="37"/>
      <c r="AX105" s="37">
        <v>0</v>
      </c>
      <c r="AY105" s="37">
        <v>0</v>
      </c>
      <c r="AZ105" s="37">
        <v>0</v>
      </c>
      <c r="BA105" s="40" t="str">
        <f>IF(Table_BDD[[#This Row],[Position]]="","Sans objet",IF(AND(Table_BDD[[#This Row],[Type]]="sell",Table_BDD[[#This Row],[S / L]]&lt;Table_BDD[[#This Row],[Lvl Entrée]],Table_BDD[[#This Row],[Lvl Sortie]]&lt;=Table_BDD[[#This Row],[S / L]]+2,Table_BDD[[#This Row],[Lvl Sortie]]&lt;Table_BDD[[#This Row],[Lvl Entrée]]-19),"Oui",IF(AND(Table_BDD[[#This Row],[Type]]="buy",Table_BDD[[#This Row],[S / L]]&gt;Table_BDD[[#This Row],[Lvl Entrée]],Table_BDD[[#This Row],[Lvl Sortie]]&gt;=Table_BDD[[#This Row],[S / L]]-2,Table_BDD[[#This Row],[S / L]]&gt;Table_BDD[[#This Row],[Lvl Entrée]]+19),"Oui","Non")))</f>
        <v>Non</v>
      </c>
      <c r="BB105" s="40" t="str">
        <f>IF(Table_BDD[[#This Row],[Position]]="","Sans objet",IF(AND(Table_BDD[[#This Row],[Type]]="sell",Table_BDD[[#This Row],[S / L]]&lt;Table_BDD[[#This Row],[Lvl Entrée]],Table_BDD[[#This Row],[Points]]&gt;=-1),"Oui",IF(AND(Table_BDD[[#This Row],[Type]]="sell",Table_BDD[[#This Row],[S / L]]&gt;Table_BDD[[#This Row],[Lvl Entrée]]),"Non",IF(AND(Table_BDD[[#This Row],[Type]]="buy",Table_BDD[[#This Row],[S / L]]&lt;Table_BDD[[#This Row],[Lvl Entrée]]),"Non",IF(AND(Table_BDD[[#This Row],[Type]]="buy",Table_BDD[[#This Row],[S / L]]&gt;Table_BDD[[#This Row],[Lvl Entrée]],Table_BDD[[#This Row],[Points]]&gt;=-1),"Oui")))))</f>
        <v>Oui</v>
      </c>
      <c r="BC105" s="40" t="str">
        <f>IF(Table_BDD[[#This Row],[Position]]="","Sans objet",IF(Table_BDD[[#This Row],[T / P]]="","Non",IF(AND(Table_BDD[[#This Row],[Type]]="sell",Table_BDD[[#This Row],[Lvl Sortie]]&lt;=Table_BDD[[#This Row],[T / P]]),"Oui",IF(AND(Table_BDD[[#This Row],[Type]]="buy",Table_BDD[[#This Row],[Lvl Sortie]]&gt;=Table_BDD[[#This Row],[T / P]]),"Oui","Non"))))</f>
        <v>Non</v>
      </c>
      <c r="BD105" s="91">
        <f t="array" ref="BD105">IFERROR(INDEX(downloadFile[#All],MATCH(Table_BDD[[#This Row],[Date]],downloadFile[[#All],[Column1]],0),2),BD104)</f>
        <v>1.0867</v>
      </c>
      <c r="BE105" s="89">
        <f>IF(Table_BDD[[#This Row],[Position]]="","",IF(Table_BDD[[#This Row],[Symbole]]="UsaInd",(Table_BDD[[#This Row],[Volume]]*Table_BDD[[#This Row],[Lvl Entrée]])/(Table_BDD[[#This Row],[Equité avant trade]]*Table_BDD[[#This Row],[EUR/USD]]),IF(Table_BDD[[#This Row],[Symbole]]="Ger30",(Table_BDD[[#This Row],[Volume]]*Table_BDD[[#This Row],[Lvl Entrée]])/Table_BDD[[#This Row],[Equité avant trade]],)))</f>
        <v>14.76318980906651</v>
      </c>
      <c r="BF105" s="38">
        <f>IF(Table_BDD[[#This Row],[Position]]="","",IF(Table_BDD[[#This Row],[Conformité]]="Non conforme",0,(MROUND(3*((Table_BDD[[#This Row],[Conviction]]+Table_BDD[[#This Row],[Timing]]+Table_BDD[[#This Row],[Sortie]])+1)-2,1))))</f>
        <v>0</v>
      </c>
      <c r="BG105" s="38" t="str">
        <f>IF(Table_BDD[[#This Row],[Position]]="","",IF(Table_BDD[[#This Row],[Points]]&lt;-5,"--",IF(AND(Table_BDD[[#This Row],[Points]]&gt;=-5,Table_BDD[[#This Row],[Points]]&lt;-1.5),"-",IF(AND(Table_BDD[[#This Row],[Points]]&gt;=-1.5,Table_BDD[[#This Row],[Points]]&lt;1.5),"0",IF(AND(Table_BDD[[#This Row],[Points]]&gt;=1.5,Table_BDD[[#This Row],[Points]]&lt;=70),"+",IF(Table_BDD[[#This Row],[Points]]&gt;70,"++"))))))</f>
        <v>0</v>
      </c>
      <c r="BH105" s="37" t="str">
        <f>IF(Table_BDD[[#This Row],[Position]]="","",IF(Table_BDD[[#This Row],[Points]]&gt;0,"Gagnant",IF(Table_BDD[[#This Row],[Points]]=0,"Flat","Perdant")))</f>
        <v>Gagnant</v>
      </c>
      <c r="BI105" s="40">
        <f>IF(Table_BDD[[#This Row],[Position]]="","",IF(Table_BDD[[#This Row],[Résultat]]="Gagnant",1,0))</f>
        <v>1</v>
      </c>
      <c r="BJ105" s="40">
        <f>IF(Table_BDD[[#This Row],[Position]]="","",IF(Table_BDD[[#This Row],[Résultat]]="Perdant",1,0))</f>
        <v>0</v>
      </c>
      <c r="BK105" s="40"/>
      <c r="BL105" s="145">
        <f>IF(Table_BDD[[#This Row],[T / P]]="","",Table_BDD[[#This Row],[T / P]])</f>
        <v>29214.81</v>
      </c>
      <c r="BM105" s="147"/>
      <c r="BN105" s="147"/>
      <c r="BO105" s="147"/>
      <c r="BP105" s="147"/>
      <c r="BQ105" s="127"/>
    </row>
    <row r="106" spans="1:69" x14ac:dyDescent="0.2">
      <c r="A106" s="93">
        <v>43874.677800925929</v>
      </c>
      <c r="B106" s="94">
        <v>259913211</v>
      </c>
      <c r="C106" s="37" t="s">
        <v>8</v>
      </c>
      <c r="D106" s="37" t="s">
        <v>10</v>
      </c>
      <c r="E106" s="37">
        <v>0.5</v>
      </c>
      <c r="F106" s="95">
        <v>29405.66</v>
      </c>
      <c r="G106" s="95">
        <v>29404.16</v>
      </c>
      <c r="H106" s="95"/>
      <c r="I106" s="93">
        <v>43874.678460648145</v>
      </c>
      <c r="J106" s="95">
        <v>29404.93</v>
      </c>
      <c r="K106" s="95">
        <v>0</v>
      </c>
      <c r="L106" s="95">
        <v>0</v>
      </c>
      <c r="M106" s="32">
        <v>0.34</v>
      </c>
      <c r="N106" s="148">
        <f>IF(Table_BDD[[#This Row],[Position]]="","",ROW()-3)</f>
        <v>103</v>
      </c>
      <c r="O106" s="32">
        <f>SUM($L$4:M106)</f>
        <v>-82.369999999999962</v>
      </c>
      <c r="P106" s="32">
        <f>Table_BDD[[#This Row],[Equité avant trade]]+Table_BDD[[#This Row],[Profit]]+Table_BDD[[#This Row],[Echange]]</f>
        <v>917.63</v>
      </c>
      <c r="Q106" s="52">
        <f>INT(Table_BDD[[#This Row],[Horodatage cloture]])</f>
        <v>43874</v>
      </c>
      <c r="R106" s="34">
        <f>WEEKNUM(Table_BDD[[#This Row],[Horodatage cloture]],2)</f>
        <v>7</v>
      </c>
      <c r="S106" s="61">
        <f>WEEKDAY(Table_BDD[[#This Row],[Horodatage cloture]])</f>
        <v>5</v>
      </c>
      <c r="T106" s="63">
        <f>HOUR(Table_BDD[[#This Row],[Horodatage cloture]])</f>
        <v>16</v>
      </c>
      <c r="U106" s="68">
        <f>IF(Table_BDD[[#This Row],[Position]]="","",IF(Table_BDD[[#This Row],[Valeur début de journée unique]]&lt;&gt;0,1,0))</f>
        <v>0</v>
      </c>
      <c r="V106" s="68" t="str">
        <f>IF(Table_BDD[[#This Row],[Nb de séance de trading]]=1,COUNTIF(Table_BDD[Date],Table_BDD[[#This Row],[Date]]),"")</f>
        <v/>
      </c>
      <c r="W106" s="33">
        <f>IF(Table_BDD[[#This Row],[Position]]="","",IF(Table_BDD[[#This Row],[Type]]="buy",ROUND(Table_BDD[[#This Row],[Lvl Entrée]]-Table_BDD[[#This Row],[S / L]],1),ROUND(Table_BDD[[#This Row],[S / L]]-Table_BDD[[#This Row],[Lvl Entrée]],1)))</f>
        <v>-1.5</v>
      </c>
      <c r="X106" s="33">
        <f>IF(Table_BDD[[#This Row],[Position]]="","",IF(Table_BDD[[#This Row],[T / P]]=0,200,IF(Table_BDD[[#This Row],[Type]]="buy",ROUND(Table_BDD[[#This Row],[T / P]]-Table_BDD[[#This Row],[Lvl Entrée]],1),ROUND(Table_BDD[[#This Row],[Lvl Entrée]]-Table_BDD[[#This Row],[T / P]],1))))</f>
        <v>200</v>
      </c>
      <c r="Y106" s="34">
        <f>IF(Table_BDD[[#This Row],[Position]]="","",IF(Table_BDD[[#This Row],[Ecart du SL]]&gt;0,ROUND(ABS(Table_BDD[[#This Row],[Ecart du TP]])/ABS(Table_BDD[[#This Row],[Ecart du SL]]),1),ROUND(ABS(Table_BDD[[#This Row],[Ecart du TP]])/10,1)))</f>
        <v>20</v>
      </c>
      <c r="Z106" s="34">
        <f>IF(Table_BDD[[#This Row],[Position]]="","",IF(Table_BDD[[#This Row],[Ecart du SL]]&lt;0,IF(AND(Table_BDD[[#This Row],[Profit]]&gt;0,Table_BDD[[#This Row],[Type]]="sell"),ROUND((Table_BDD[[#This Row],[Lvl Entrée]]-Table_BDD[[#This Row],[Lvl Sortie]])/(10),1),IF(AND(Table_BDD[[#This Row],[Profit]]&gt;0,Table_BDD[[#This Row],[Type]]="buy"),ROUND((Table_BDD[[#This Row],[Lvl Sortie]]-Table_BDD[[#This Row],[Lvl Entrée]])/(10),1),)),IF(AND(Table_BDD[[#This Row],[Profit]]&gt;0,Table_BDD[[#This Row],[Type]]="sell"),ROUND((Table_BDD[[#This Row],[Lvl Entrée]]-Table_BDD[[#This Row],[Lvl Sortie]])/(Table_BDD[[#This Row],[S / L]]-Table_BDD[[#This Row],[Lvl Entrée]]),1),IF(AND(Table_BDD[[#This Row],[Profit]]&gt;0,Table_BDD[[#This Row],[Type]]="buy"),ROUND((Table_BDD[[#This Row],[Lvl Sortie]]-Table_BDD[[#This Row],[Lvl Entrée]])/(Table_BDD[[#This Row],[Lvl Entrée]]-Table_BDD[[#This Row],[S / L]]),1),ROUND(Table_BDD[[#This Row],[Points]]/10,1)))))</f>
        <v>0.1</v>
      </c>
      <c r="AA106" s="32">
        <f>IF(Table_BDD[[#This Row],[Position]]="",AA105,Table_BDD[[#This Row],[Equité après trade]]-Table_BDD[[#This Row],[Profit]]-Table_BDD[[#This Row],[Echange]])</f>
        <v>917.29</v>
      </c>
      <c r="AB106" s="149">
        <f>$B$1+SUM($L$4:M106)</f>
        <v>917.63</v>
      </c>
      <c r="AC106" s="150">
        <f>IF(Table_BDD[[#This Row],[Position]]="","",_xlfn.MINIFS(Table_BDD[Horodatage ouverture],Table_BDD[Date],Table_BDD[Date]))</f>
        <v>43874.650868055556</v>
      </c>
      <c r="AD106" s="149">
        <f>VLOOKUP(_xlfn.MINIFS(Table_BDD[Horodatage ouverture],Table_BDD[Date],Table_BDD[Date]),Table_BDD[[Horodatage ouverture]:[Heure derniere valeur]],AA$2)</f>
        <v>920.68000000000006</v>
      </c>
      <c r="AE106" s="149">
        <f>IF(VLOOKUP(_xlfn.MINIFS(Table_BDD[Horodatage ouverture],Table_BDD[Date],Table_BDD[Date]),Table_BDD[[Horodatage ouverture]:[Heure derniere valeur]],AA$2)=Table_BDD[[#This Row],[Equité avant trade]],VLOOKUP(_xlfn.MINIFS(Table_BDD[Horodatage ouverture],Table_BDD[Date],Table_BDD[Date]),Table_BDD[[Horodatage ouverture]:[Heure derniere valeur]],AA$2),0)</f>
        <v>0</v>
      </c>
      <c r="AF106" s="150">
        <f>IF(Table_BDD[[#This Row],[Position]]="","",_xlfn.MAXIFS(Table_BDD[Horodatage ouverture],Table_BDD[Date],Table_BDD[Date]))</f>
        <v>43874.763055555559</v>
      </c>
      <c r="AG106" s="32">
        <f>VLOOKUP(_xlfn.MAXIFS(Table_BDD[Horodatage cloture],Table_BDD[Date],Table_BDD[Date]),Table_BDD[[Horodatage ouverture]:[Heure derniere valeur]],AB$2)</f>
        <v>867.85</v>
      </c>
      <c r="AH106" s="32">
        <f>IF(VLOOKUP(_xlfn.MAXIFS(Table_BDD[Horodatage cloture],Table_BDD[Date],Table_BDD[Date]),Table_BDD[[Horodatage ouverture]:[Heure derniere valeur]],AB$2)=Table_BDD[[#This Row],[Equité après trade]],VLOOKUP(_xlfn.MAXIFS(Table_BDD[Horodatage cloture],Table_BDD[Date],Table_BDD[Date]),Table_BDD[[Horodatage ouverture]:[Heure derniere valeur]],AB$2),0)</f>
        <v>0</v>
      </c>
      <c r="AI106" s="32" t="e">
        <f>IF(Table_BDD[[#This Row],[Valeur fin de journée unique]]=0,#N/A,Table_BDD[[#This Row],[Valeur fin de journée unique]])</f>
        <v>#N/A</v>
      </c>
      <c r="AJ106" s="35">
        <f>IF(Table_BDD[[#This Row],[Position]]="","",(Table_BDD[[#This Row],[Equité après trade]]-Table_BDD[[#This Row],[Equité avant trade]])/Table_BDD[[#This Row],[Equité avant trade]])</f>
        <v>3.7065704411912463E-4</v>
      </c>
      <c r="AK106" s="35" t="str">
        <f>IFERROR(((INDEX(Table_BDD[[Trade n°]:[Valeur fin de journée unique]],Table_BDD[[#This Row],[Nb de trade du jour]]+Table_BDD[[#This Row],[Trade n°]]-1,21))-Table_BDD[[#This Row],[Valeur début de journée unique]])/Table_BDD[[#This Row],[Valeur début de journée unique]],"")</f>
        <v/>
      </c>
      <c r="AL106" s="32">
        <f>IF(Table_BDD[[#This Row],[Position]]="","",MAX(Table_BDD[[#This Row],[Cumul équité]],AL105))</f>
        <v>1052.8399999999999</v>
      </c>
      <c r="AM106" s="32">
        <f>IF(Table_BDD[[#This Row],[Position]]="","",MIN(Table_BDD[[#This Row],[Cumul équité]],AL105))</f>
        <v>917.63</v>
      </c>
      <c r="AN106" s="97">
        <f>IF(Table_BDD[[#This Row],[Sommet Drawdown]]&gt;AL105,"",Table_BDD[[#This Row],[Creux Drawdown]]/Table_BDD[[#This Row],[Sommet Drawdown]]-1)</f>
        <v>-0.12842407203373729</v>
      </c>
      <c r="AO106" s="36">
        <f>IF(Table_BDD[[#This Row],[Position]]="","",IF(Table_BDD[[#This Row],[Type]]="buy",ROUND(Table_BDD[[#This Row],[Lvl Sortie]]-Table_BDD[[#This Row],[Lvl Entrée]],1),ROUND(Table_BDD[[#This Row],[Lvl Entrée]]-Table_BDD[[#This Row],[Lvl Sortie]],1)))</f>
        <v>0.7</v>
      </c>
      <c r="AP106" s="36">
        <f>IF(Table_BDD[[#This Row],[Points]]&gt;0,Table_BDD[[#This Row],[Points]],"")</f>
        <v>0.7</v>
      </c>
      <c r="AQ106" s="36" t="str">
        <f>IF(Table_BDD[[#This Row],[Points]]&lt;0,Table_BDD[[#This Row],[Points]],"")</f>
        <v/>
      </c>
      <c r="AR106" s="36">
        <f>SUM($AO$4:AO106)</f>
        <v>-179.8</v>
      </c>
      <c r="AS106" s="68">
        <f>IF(Table_BDD[[#This Row],[Position]]="","",IF(Table_BDD[[#This Row],[Conformité]]="Conforme",1,0))</f>
        <v>0</v>
      </c>
      <c r="AT106" s="68">
        <f>IF(Table_BDD[[#This Row],[Position]]="","",IF(Table_BDD[[#This Row],[Conformité]]="Non conforme",1,0))</f>
        <v>1</v>
      </c>
      <c r="AU106" s="37" t="s">
        <v>17</v>
      </c>
      <c r="AV106" s="37"/>
      <c r="AW106" s="37"/>
      <c r="AX106" s="37">
        <v>0</v>
      </c>
      <c r="AY106" s="37">
        <v>0</v>
      </c>
      <c r="AZ106" s="37">
        <v>0</v>
      </c>
      <c r="BA106" s="40" t="str">
        <f>IF(Table_BDD[[#This Row],[Position]]="","Sans objet",IF(AND(Table_BDD[[#This Row],[Type]]="sell",Table_BDD[[#This Row],[S / L]]&lt;Table_BDD[[#This Row],[Lvl Entrée]],Table_BDD[[#This Row],[Lvl Sortie]]&lt;=Table_BDD[[#This Row],[S / L]]+2,Table_BDD[[#This Row],[Lvl Sortie]]&lt;Table_BDD[[#This Row],[Lvl Entrée]]-19),"Oui",IF(AND(Table_BDD[[#This Row],[Type]]="buy",Table_BDD[[#This Row],[S / L]]&gt;Table_BDD[[#This Row],[Lvl Entrée]],Table_BDD[[#This Row],[Lvl Sortie]]&gt;=Table_BDD[[#This Row],[S / L]]-2,Table_BDD[[#This Row],[S / L]]&gt;Table_BDD[[#This Row],[Lvl Entrée]]+19),"Oui","Non")))</f>
        <v>Non</v>
      </c>
      <c r="BB106" s="40" t="str">
        <f>IF(Table_BDD[[#This Row],[Position]]="","Sans objet",IF(AND(Table_BDD[[#This Row],[Type]]="sell",Table_BDD[[#This Row],[S / L]]&lt;Table_BDD[[#This Row],[Lvl Entrée]],Table_BDD[[#This Row],[Points]]&gt;=-1),"Oui",IF(AND(Table_BDD[[#This Row],[Type]]="sell",Table_BDD[[#This Row],[S / L]]&gt;Table_BDD[[#This Row],[Lvl Entrée]]),"Non",IF(AND(Table_BDD[[#This Row],[Type]]="buy",Table_BDD[[#This Row],[S / L]]&lt;Table_BDD[[#This Row],[Lvl Entrée]]),"Non",IF(AND(Table_BDD[[#This Row],[Type]]="buy",Table_BDD[[#This Row],[S / L]]&gt;Table_BDD[[#This Row],[Lvl Entrée]],Table_BDD[[#This Row],[Points]]&gt;=-1),"Oui")))))</f>
        <v>Oui</v>
      </c>
      <c r="BC106" s="40" t="str">
        <f>IF(Table_BDD[[#This Row],[Position]]="","Sans objet",IF(Table_BDD[[#This Row],[T / P]]="","Non",IF(AND(Table_BDD[[#This Row],[Type]]="sell",Table_BDD[[#This Row],[Lvl Sortie]]&lt;=Table_BDD[[#This Row],[T / P]]),"Oui",IF(AND(Table_BDD[[#This Row],[Type]]="buy",Table_BDD[[#This Row],[Lvl Sortie]]&gt;=Table_BDD[[#This Row],[T / P]]),"Oui","Non"))))</f>
        <v>Non</v>
      </c>
      <c r="BD106" s="91">
        <f t="array" ref="BD106">IFERROR(INDEX(downloadFile[#All],MATCH(Table_BDD[[#This Row],[Date]],downloadFile[[#All],[Column1]],0),2),BD105)</f>
        <v>1.0867</v>
      </c>
      <c r="BE106" s="89">
        <f>IF(Table_BDD[[#This Row],[Position]]="","",IF(Table_BDD[[#This Row],[Symbole]]="UsaInd",(Table_BDD[[#This Row],[Volume]]*Table_BDD[[#This Row],[Lvl Entrée]])/(Table_BDD[[#This Row],[Equité avant trade]]*Table_BDD[[#This Row],[EUR/USD]]),IF(Table_BDD[[#This Row],[Symbole]]="Ger30",(Table_BDD[[#This Row],[Volume]]*Table_BDD[[#This Row],[Lvl Entrée]])/Table_BDD[[#This Row],[Equité avant trade]],)))</f>
        <v>14.749748315151319</v>
      </c>
      <c r="BF106" s="38">
        <f>IF(Table_BDD[[#This Row],[Position]]="","",IF(Table_BDD[[#This Row],[Conformité]]="Non conforme",0,(MROUND(3*((Table_BDD[[#This Row],[Conviction]]+Table_BDD[[#This Row],[Timing]]+Table_BDD[[#This Row],[Sortie]])+1)-2,1))))</f>
        <v>0</v>
      </c>
      <c r="BG106" s="38" t="str">
        <f>IF(Table_BDD[[#This Row],[Position]]="","",IF(Table_BDD[[#This Row],[Points]]&lt;-5,"--",IF(AND(Table_BDD[[#This Row],[Points]]&gt;=-5,Table_BDD[[#This Row],[Points]]&lt;-1.5),"-",IF(AND(Table_BDD[[#This Row],[Points]]&gt;=-1.5,Table_BDD[[#This Row],[Points]]&lt;1.5),"0",IF(AND(Table_BDD[[#This Row],[Points]]&gt;=1.5,Table_BDD[[#This Row],[Points]]&lt;=70),"+",IF(Table_BDD[[#This Row],[Points]]&gt;70,"++"))))))</f>
        <v>0</v>
      </c>
      <c r="BH106" s="37" t="str">
        <f>IF(Table_BDD[[#This Row],[Position]]="","",IF(Table_BDD[[#This Row],[Points]]&gt;0,"Gagnant",IF(Table_BDD[[#This Row],[Points]]=0,"Flat","Perdant")))</f>
        <v>Gagnant</v>
      </c>
      <c r="BI106" s="40">
        <f>IF(Table_BDD[[#This Row],[Position]]="","",IF(Table_BDD[[#This Row],[Résultat]]="Gagnant",1,0))</f>
        <v>1</v>
      </c>
      <c r="BJ106" s="40">
        <f>IF(Table_BDD[[#This Row],[Position]]="","",IF(Table_BDD[[#This Row],[Résultat]]="Perdant",1,0))</f>
        <v>0</v>
      </c>
      <c r="BK106" s="40"/>
      <c r="BL106" s="145" t="str">
        <f>IF(Table_BDD[[#This Row],[T / P]]="","",Table_BDD[[#This Row],[T / P]])</f>
        <v/>
      </c>
      <c r="BM106" s="147"/>
      <c r="BN106" s="147"/>
      <c r="BO106" s="147"/>
      <c r="BP106" s="147"/>
      <c r="BQ106" s="127"/>
    </row>
    <row r="107" spans="1:69" x14ac:dyDescent="0.2">
      <c r="A107" s="93">
        <v>43874.679166666669</v>
      </c>
      <c r="B107" s="94">
        <v>259913464</v>
      </c>
      <c r="C107" s="37" t="s">
        <v>8</v>
      </c>
      <c r="D107" s="37" t="s">
        <v>10</v>
      </c>
      <c r="E107" s="37">
        <v>0.5</v>
      </c>
      <c r="F107" s="95">
        <v>29405.81</v>
      </c>
      <c r="G107" s="95">
        <v>29415.81</v>
      </c>
      <c r="H107" s="95"/>
      <c r="I107" s="93">
        <v>43874.680451388886</v>
      </c>
      <c r="J107" s="95">
        <v>29415.98</v>
      </c>
      <c r="K107" s="95">
        <v>0</v>
      </c>
      <c r="L107" s="95">
        <v>0</v>
      </c>
      <c r="M107" s="32">
        <v>-4.6900000000000004</v>
      </c>
      <c r="N107" s="148">
        <f>IF(Table_BDD[[#This Row],[Position]]="","",ROW()-3)</f>
        <v>104</v>
      </c>
      <c r="O107" s="32">
        <f>SUM($L$4:M107)</f>
        <v>-87.05999999999996</v>
      </c>
      <c r="P107" s="32">
        <f>Table_BDD[[#This Row],[Equité avant trade]]+Table_BDD[[#This Row],[Profit]]+Table_BDD[[#This Row],[Echange]]</f>
        <v>912.94</v>
      </c>
      <c r="Q107" s="52">
        <f>INT(Table_BDD[[#This Row],[Horodatage cloture]])</f>
        <v>43874</v>
      </c>
      <c r="R107" s="34">
        <f>WEEKNUM(Table_BDD[[#This Row],[Horodatage cloture]],2)</f>
        <v>7</v>
      </c>
      <c r="S107" s="61">
        <f>WEEKDAY(Table_BDD[[#This Row],[Horodatage cloture]])</f>
        <v>5</v>
      </c>
      <c r="T107" s="63">
        <f>HOUR(Table_BDD[[#This Row],[Horodatage cloture]])</f>
        <v>16</v>
      </c>
      <c r="U107" s="68">
        <f>IF(Table_BDD[[#This Row],[Position]]="","",IF(Table_BDD[[#This Row],[Valeur début de journée unique]]&lt;&gt;0,1,0))</f>
        <v>0</v>
      </c>
      <c r="V107" s="68" t="str">
        <f>IF(Table_BDD[[#This Row],[Nb de séance de trading]]=1,COUNTIF(Table_BDD[Date],Table_BDD[[#This Row],[Date]]),"")</f>
        <v/>
      </c>
      <c r="W107" s="33">
        <f>IF(Table_BDD[[#This Row],[Position]]="","",IF(Table_BDD[[#This Row],[Type]]="buy",ROUND(Table_BDD[[#This Row],[Lvl Entrée]]-Table_BDD[[#This Row],[S / L]],1),ROUND(Table_BDD[[#This Row],[S / L]]-Table_BDD[[#This Row],[Lvl Entrée]],1)))</f>
        <v>10</v>
      </c>
      <c r="X107" s="33">
        <f>IF(Table_BDD[[#This Row],[Position]]="","",IF(Table_BDD[[#This Row],[T / P]]=0,200,IF(Table_BDD[[#This Row],[Type]]="buy",ROUND(Table_BDD[[#This Row],[T / P]]-Table_BDD[[#This Row],[Lvl Entrée]],1),ROUND(Table_BDD[[#This Row],[Lvl Entrée]]-Table_BDD[[#This Row],[T / P]],1))))</f>
        <v>200</v>
      </c>
      <c r="Y107" s="34">
        <f>IF(Table_BDD[[#This Row],[Position]]="","",IF(Table_BDD[[#This Row],[Ecart du SL]]&gt;0,ROUND(ABS(Table_BDD[[#This Row],[Ecart du TP]])/ABS(Table_BDD[[#This Row],[Ecart du SL]]),1),ROUND(ABS(Table_BDD[[#This Row],[Ecart du TP]])/10,1)))</f>
        <v>20</v>
      </c>
      <c r="Z107" s="34">
        <f>IF(Table_BDD[[#This Row],[Position]]="","",IF(Table_BDD[[#This Row],[Ecart du SL]]&lt;0,IF(AND(Table_BDD[[#This Row],[Profit]]&gt;0,Table_BDD[[#This Row],[Type]]="sell"),ROUND((Table_BDD[[#This Row],[Lvl Entrée]]-Table_BDD[[#This Row],[Lvl Sortie]])/(10),1),IF(AND(Table_BDD[[#This Row],[Profit]]&gt;0,Table_BDD[[#This Row],[Type]]="buy"),ROUND((Table_BDD[[#This Row],[Lvl Sortie]]-Table_BDD[[#This Row],[Lvl Entrée]])/(10),1),)),IF(AND(Table_BDD[[#This Row],[Profit]]&gt;0,Table_BDD[[#This Row],[Type]]="sell"),ROUND((Table_BDD[[#This Row],[Lvl Entrée]]-Table_BDD[[#This Row],[Lvl Sortie]])/(Table_BDD[[#This Row],[S / L]]-Table_BDD[[#This Row],[Lvl Entrée]]),1),IF(AND(Table_BDD[[#This Row],[Profit]]&gt;0,Table_BDD[[#This Row],[Type]]="buy"),ROUND((Table_BDD[[#This Row],[Lvl Sortie]]-Table_BDD[[#This Row],[Lvl Entrée]])/(Table_BDD[[#This Row],[Lvl Entrée]]-Table_BDD[[#This Row],[S / L]]),1),ROUND(Table_BDD[[#This Row],[Points]]/10,1)))))</f>
        <v>-1</v>
      </c>
      <c r="AA107" s="32">
        <f>IF(Table_BDD[[#This Row],[Position]]="",AA106,Table_BDD[[#This Row],[Equité après trade]]-Table_BDD[[#This Row],[Profit]]-Table_BDD[[#This Row],[Echange]])</f>
        <v>917.63000000000011</v>
      </c>
      <c r="AB107" s="149">
        <f>$B$1+SUM($L$4:M107)</f>
        <v>912.94</v>
      </c>
      <c r="AC107" s="150">
        <f>IF(Table_BDD[[#This Row],[Position]]="","",_xlfn.MINIFS(Table_BDD[Horodatage ouverture],Table_BDD[Date],Table_BDD[Date]))</f>
        <v>43874.650868055556</v>
      </c>
      <c r="AD107" s="149">
        <f>VLOOKUP(_xlfn.MINIFS(Table_BDD[Horodatage ouverture],Table_BDD[Date],Table_BDD[Date]),Table_BDD[[Horodatage ouverture]:[Heure derniere valeur]],AA$2)</f>
        <v>920.68000000000006</v>
      </c>
      <c r="AE107" s="149">
        <f>IF(VLOOKUP(_xlfn.MINIFS(Table_BDD[Horodatage ouverture],Table_BDD[Date],Table_BDD[Date]),Table_BDD[[Horodatage ouverture]:[Heure derniere valeur]],AA$2)=Table_BDD[[#This Row],[Equité avant trade]],VLOOKUP(_xlfn.MINIFS(Table_BDD[Horodatage ouverture],Table_BDD[Date],Table_BDD[Date]),Table_BDD[[Horodatage ouverture]:[Heure derniere valeur]],AA$2),0)</f>
        <v>0</v>
      </c>
      <c r="AF107" s="150">
        <f>IF(Table_BDD[[#This Row],[Position]]="","",_xlfn.MAXIFS(Table_BDD[Horodatage ouverture],Table_BDD[Date],Table_BDD[Date]))</f>
        <v>43874.763055555559</v>
      </c>
      <c r="AG107" s="32">
        <f>VLOOKUP(_xlfn.MAXIFS(Table_BDD[Horodatage cloture],Table_BDD[Date],Table_BDD[Date]),Table_BDD[[Horodatage ouverture]:[Heure derniere valeur]],AB$2)</f>
        <v>867.85</v>
      </c>
      <c r="AH107" s="32">
        <f>IF(VLOOKUP(_xlfn.MAXIFS(Table_BDD[Horodatage cloture],Table_BDD[Date],Table_BDD[Date]),Table_BDD[[Horodatage ouverture]:[Heure derniere valeur]],AB$2)=Table_BDD[[#This Row],[Equité après trade]],VLOOKUP(_xlfn.MAXIFS(Table_BDD[Horodatage cloture],Table_BDD[Date],Table_BDD[Date]),Table_BDD[[Horodatage ouverture]:[Heure derniere valeur]],AB$2),0)</f>
        <v>0</v>
      </c>
      <c r="AI107" s="32" t="e">
        <f>IF(Table_BDD[[#This Row],[Valeur fin de journée unique]]=0,#N/A,Table_BDD[[#This Row],[Valeur fin de journée unique]])</f>
        <v>#N/A</v>
      </c>
      <c r="AJ107" s="35">
        <f>IF(Table_BDD[[#This Row],[Position]]="","",(Table_BDD[[#This Row],[Equité après trade]]-Table_BDD[[#This Row],[Equité avant trade]])/Table_BDD[[#This Row],[Equité avant trade]])</f>
        <v>-5.1109924479365914E-3</v>
      </c>
      <c r="AK107" s="35" t="str">
        <f>IFERROR(((INDEX(Table_BDD[[Trade n°]:[Valeur fin de journée unique]],Table_BDD[[#This Row],[Nb de trade du jour]]+Table_BDD[[#This Row],[Trade n°]]-1,21))-Table_BDD[[#This Row],[Valeur début de journée unique]])/Table_BDD[[#This Row],[Valeur début de journée unique]],"")</f>
        <v/>
      </c>
      <c r="AL107" s="32">
        <f>IF(Table_BDD[[#This Row],[Position]]="","",MAX(Table_BDD[[#This Row],[Cumul équité]],AL106))</f>
        <v>1052.8399999999999</v>
      </c>
      <c r="AM107" s="32">
        <f>IF(Table_BDD[[#This Row],[Position]]="","",MIN(Table_BDD[[#This Row],[Cumul équité]],AL106))</f>
        <v>912.94</v>
      </c>
      <c r="AN107" s="97">
        <f>IF(Table_BDD[[#This Row],[Sommet Drawdown]]&gt;AL106,"",Table_BDD[[#This Row],[Creux Drawdown]]/Table_BDD[[#This Row],[Sommet Drawdown]]-1)</f>
        <v>-0.13287869001937602</v>
      </c>
      <c r="AO107" s="36">
        <f>IF(Table_BDD[[#This Row],[Position]]="","",IF(Table_BDD[[#This Row],[Type]]="buy",ROUND(Table_BDD[[#This Row],[Lvl Sortie]]-Table_BDD[[#This Row],[Lvl Entrée]],1),ROUND(Table_BDD[[#This Row],[Lvl Entrée]]-Table_BDD[[#This Row],[Lvl Sortie]],1)))</f>
        <v>-10.199999999999999</v>
      </c>
      <c r="AP107" s="36" t="str">
        <f>IF(Table_BDD[[#This Row],[Points]]&gt;0,Table_BDD[[#This Row],[Points]],"")</f>
        <v/>
      </c>
      <c r="AQ107" s="36">
        <f>IF(Table_BDD[[#This Row],[Points]]&lt;0,Table_BDD[[#This Row],[Points]],"")</f>
        <v>-10.199999999999999</v>
      </c>
      <c r="AR107" s="36">
        <f>SUM($AO$4:AO107)</f>
        <v>-190</v>
      </c>
      <c r="AS107" s="68">
        <f>IF(Table_BDD[[#This Row],[Position]]="","",IF(Table_BDD[[#This Row],[Conformité]]="Conforme",1,0))</f>
        <v>0</v>
      </c>
      <c r="AT107" s="68">
        <f>IF(Table_BDD[[#This Row],[Position]]="","",IF(Table_BDD[[#This Row],[Conformité]]="Non conforme",1,0))</f>
        <v>1</v>
      </c>
      <c r="AU107" s="37" t="s">
        <v>17</v>
      </c>
      <c r="AV107" s="37"/>
      <c r="AW107" s="37"/>
      <c r="AX107" s="37">
        <v>0</v>
      </c>
      <c r="AY107" s="37">
        <v>0</v>
      </c>
      <c r="AZ107" s="37">
        <v>0</v>
      </c>
      <c r="BA107" s="40" t="str">
        <f>IF(Table_BDD[[#This Row],[Position]]="","Sans objet",IF(AND(Table_BDD[[#This Row],[Type]]="sell",Table_BDD[[#This Row],[S / L]]&lt;Table_BDD[[#This Row],[Lvl Entrée]],Table_BDD[[#This Row],[Lvl Sortie]]&lt;=Table_BDD[[#This Row],[S / L]]+2,Table_BDD[[#This Row],[Lvl Sortie]]&lt;Table_BDD[[#This Row],[Lvl Entrée]]-19),"Oui",IF(AND(Table_BDD[[#This Row],[Type]]="buy",Table_BDD[[#This Row],[S / L]]&gt;Table_BDD[[#This Row],[Lvl Entrée]],Table_BDD[[#This Row],[Lvl Sortie]]&gt;=Table_BDD[[#This Row],[S / L]]-2,Table_BDD[[#This Row],[S / L]]&gt;Table_BDD[[#This Row],[Lvl Entrée]]+19),"Oui","Non")))</f>
        <v>Non</v>
      </c>
      <c r="BB107" s="40" t="str">
        <f>IF(Table_BDD[[#This Row],[Position]]="","Sans objet",IF(AND(Table_BDD[[#This Row],[Type]]="sell",Table_BDD[[#This Row],[S / L]]&lt;Table_BDD[[#This Row],[Lvl Entrée]],Table_BDD[[#This Row],[Points]]&gt;=-1),"Oui",IF(AND(Table_BDD[[#This Row],[Type]]="sell",Table_BDD[[#This Row],[S / L]]&gt;Table_BDD[[#This Row],[Lvl Entrée]]),"Non",IF(AND(Table_BDD[[#This Row],[Type]]="buy",Table_BDD[[#This Row],[S / L]]&lt;Table_BDD[[#This Row],[Lvl Entrée]]),"Non",IF(AND(Table_BDD[[#This Row],[Type]]="buy",Table_BDD[[#This Row],[S / L]]&gt;Table_BDD[[#This Row],[Lvl Entrée]],Table_BDD[[#This Row],[Points]]&gt;=-1),"Oui")))))</f>
        <v>Non</v>
      </c>
      <c r="BC107" s="40" t="str">
        <f>IF(Table_BDD[[#This Row],[Position]]="","Sans objet",IF(Table_BDD[[#This Row],[T / P]]="","Non",IF(AND(Table_BDD[[#This Row],[Type]]="sell",Table_BDD[[#This Row],[Lvl Sortie]]&lt;=Table_BDD[[#This Row],[T / P]]),"Oui",IF(AND(Table_BDD[[#This Row],[Type]]="buy",Table_BDD[[#This Row],[Lvl Sortie]]&gt;=Table_BDD[[#This Row],[T / P]]),"Oui","Non"))))</f>
        <v>Non</v>
      </c>
      <c r="BD107" s="91">
        <f t="array" ref="BD107">IFERROR(INDEX(downloadFile[#All],MATCH(Table_BDD[[#This Row],[Date]],downloadFile[[#All],[Column1]],0),2),BD106)</f>
        <v>1.0867</v>
      </c>
      <c r="BE107" s="89">
        <f>IF(Table_BDD[[#This Row],[Position]]="","",IF(Table_BDD[[#This Row],[Symbole]]="UsaInd",(Table_BDD[[#This Row],[Volume]]*Table_BDD[[#This Row],[Lvl Entrée]])/(Table_BDD[[#This Row],[Equité avant trade]]*Table_BDD[[#This Row],[EUR/USD]]),IF(Table_BDD[[#This Row],[Symbole]]="Ger30",(Table_BDD[[#This Row],[Volume]]*Table_BDD[[#This Row],[Lvl Entrée]])/Table_BDD[[#This Row],[Equité avant trade]],)))</f>
        <v>14.744358454162349</v>
      </c>
      <c r="BF107" s="38">
        <f>IF(Table_BDD[[#This Row],[Position]]="","",IF(Table_BDD[[#This Row],[Conformité]]="Non conforme",0,(MROUND(3*((Table_BDD[[#This Row],[Conviction]]+Table_BDD[[#This Row],[Timing]]+Table_BDD[[#This Row],[Sortie]])+1)-2,1))))</f>
        <v>0</v>
      </c>
      <c r="BG107" s="38" t="str">
        <f>IF(Table_BDD[[#This Row],[Position]]="","",IF(Table_BDD[[#This Row],[Points]]&lt;-5,"--",IF(AND(Table_BDD[[#This Row],[Points]]&gt;=-5,Table_BDD[[#This Row],[Points]]&lt;-1.5),"-",IF(AND(Table_BDD[[#This Row],[Points]]&gt;=-1.5,Table_BDD[[#This Row],[Points]]&lt;1.5),"0",IF(AND(Table_BDD[[#This Row],[Points]]&gt;=1.5,Table_BDD[[#This Row],[Points]]&lt;=70),"+",IF(Table_BDD[[#This Row],[Points]]&gt;70,"++"))))))</f>
        <v>--</v>
      </c>
      <c r="BH107" s="37" t="str">
        <f>IF(Table_BDD[[#This Row],[Position]]="","",IF(Table_BDD[[#This Row],[Points]]&gt;0,"Gagnant",IF(Table_BDD[[#This Row],[Points]]=0,"Flat","Perdant")))</f>
        <v>Perdant</v>
      </c>
      <c r="BI107" s="40">
        <f>IF(Table_BDD[[#This Row],[Position]]="","",IF(Table_BDD[[#This Row],[Résultat]]="Gagnant",1,0))</f>
        <v>0</v>
      </c>
      <c r="BJ107" s="40">
        <f>IF(Table_BDD[[#This Row],[Position]]="","",IF(Table_BDD[[#This Row],[Résultat]]="Perdant",1,0))</f>
        <v>1</v>
      </c>
      <c r="BK107" s="40"/>
      <c r="BL107" s="145" t="str">
        <f>IF(Table_BDD[[#This Row],[T / P]]="","",Table_BDD[[#This Row],[T / P]])</f>
        <v/>
      </c>
      <c r="BM107" s="147"/>
      <c r="BN107" s="147"/>
      <c r="BO107" s="147"/>
      <c r="BP107" s="147"/>
      <c r="BQ107" s="127"/>
    </row>
    <row r="108" spans="1:69" x14ac:dyDescent="0.2">
      <c r="A108" s="93">
        <v>43874.680613425924</v>
      </c>
      <c r="B108" s="94">
        <v>259913668</v>
      </c>
      <c r="C108" s="37" t="s">
        <v>8</v>
      </c>
      <c r="D108" s="37" t="s">
        <v>10</v>
      </c>
      <c r="E108" s="37">
        <v>0.5</v>
      </c>
      <c r="F108" s="95">
        <v>29406.61</v>
      </c>
      <c r="G108" s="95">
        <v>29405.11</v>
      </c>
      <c r="H108" s="95">
        <v>29216.61</v>
      </c>
      <c r="I108" s="93">
        <v>43874.682708333334</v>
      </c>
      <c r="J108" s="95">
        <v>29405.82</v>
      </c>
      <c r="K108" s="95">
        <v>0</v>
      </c>
      <c r="L108" s="95">
        <v>0</v>
      </c>
      <c r="M108" s="32">
        <v>0.37</v>
      </c>
      <c r="N108" s="148">
        <f>IF(Table_BDD[[#This Row],[Position]]="","",ROW()-3)</f>
        <v>105</v>
      </c>
      <c r="O108" s="32">
        <f>SUM($L$4:M108)</f>
        <v>-86.689999999999955</v>
      </c>
      <c r="P108" s="32">
        <f>Table_BDD[[#This Row],[Equité avant trade]]+Table_BDD[[#This Row],[Profit]]+Table_BDD[[#This Row],[Echange]]</f>
        <v>913.31000000000006</v>
      </c>
      <c r="Q108" s="52">
        <f>INT(Table_BDD[[#This Row],[Horodatage cloture]])</f>
        <v>43874</v>
      </c>
      <c r="R108" s="34">
        <f>WEEKNUM(Table_BDD[[#This Row],[Horodatage cloture]],2)</f>
        <v>7</v>
      </c>
      <c r="S108" s="61">
        <f>WEEKDAY(Table_BDD[[#This Row],[Horodatage cloture]])</f>
        <v>5</v>
      </c>
      <c r="T108" s="63">
        <f>HOUR(Table_BDD[[#This Row],[Horodatage cloture]])</f>
        <v>16</v>
      </c>
      <c r="U108" s="68">
        <f>IF(Table_BDD[[#This Row],[Position]]="","",IF(Table_BDD[[#This Row],[Valeur début de journée unique]]&lt;&gt;0,1,0))</f>
        <v>0</v>
      </c>
      <c r="V108" s="68" t="str">
        <f>IF(Table_BDD[[#This Row],[Nb de séance de trading]]=1,COUNTIF(Table_BDD[Date],Table_BDD[[#This Row],[Date]]),"")</f>
        <v/>
      </c>
      <c r="W108" s="33">
        <f>IF(Table_BDD[[#This Row],[Position]]="","",IF(Table_BDD[[#This Row],[Type]]="buy",ROUND(Table_BDD[[#This Row],[Lvl Entrée]]-Table_BDD[[#This Row],[S / L]],1),ROUND(Table_BDD[[#This Row],[S / L]]-Table_BDD[[#This Row],[Lvl Entrée]],1)))</f>
        <v>-1.5</v>
      </c>
      <c r="X108" s="33">
        <f>IF(Table_BDD[[#This Row],[Position]]="","",IF(Table_BDD[[#This Row],[T / P]]=0,200,IF(Table_BDD[[#This Row],[Type]]="buy",ROUND(Table_BDD[[#This Row],[T / P]]-Table_BDD[[#This Row],[Lvl Entrée]],1),ROUND(Table_BDD[[#This Row],[Lvl Entrée]]-Table_BDD[[#This Row],[T / P]],1))))</f>
        <v>190</v>
      </c>
      <c r="Y108" s="34">
        <f>IF(Table_BDD[[#This Row],[Position]]="","",IF(Table_BDD[[#This Row],[Ecart du SL]]&gt;0,ROUND(ABS(Table_BDD[[#This Row],[Ecart du TP]])/ABS(Table_BDD[[#This Row],[Ecart du SL]]),1),ROUND(ABS(Table_BDD[[#This Row],[Ecart du TP]])/10,1)))</f>
        <v>19</v>
      </c>
      <c r="Z108" s="34">
        <f>IF(Table_BDD[[#This Row],[Position]]="","",IF(Table_BDD[[#This Row],[Ecart du SL]]&lt;0,IF(AND(Table_BDD[[#This Row],[Profit]]&gt;0,Table_BDD[[#This Row],[Type]]="sell"),ROUND((Table_BDD[[#This Row],[Lvl Entrée]]-Table_BDD[[#This Row],[Lvl Sortie]])/(10),1),IF(AND(Table_BDD[[#This Row],[Profit]]&gt;0,Table_BDD[[#This Row],[Type]]="buy"),ROUND((Table_BDD[[#This Row],[Lvl Sortie]]-Table_BDD[[#This Row],[Lvl Entrée]])/(10),1),)),IF(AND(Table_BDD[[#This Row],[Profit]]&gt;0,Table_BDD[[#This Row],[Type]]="sell"),ROUND((Table_BDD[[#This Row],[Lvl Entrée]]-Table_BDD[[#This Row],[Lvl Sortie]])/(Table_BDD[[#This Row],[S / L]]-Table_BDD[[#This Row],[Lvl Entrée]]),1),IF(AND(Table_BDD[[#This Row],[Profit]]&gt;0,Table_BDD[[#This Row],[Type]]="buy"),ROUND((Table_BDD[[#This Row],[Lvl Sortie]]-Table_BDD[[#This Row],[Lvl Entrée]])/(Table_BDD[[#This Row],[Lvl Entrée]]-Table_BDD[[#This Row],[S / L]]),1),ROUND(Table_BDD[[#This Row],[Points]]/10,1)))))</f>
        <v>0.1</v>
      </c>
      <c r="AA108" s="32">
        <f>IF(Table_BDD[[#This Row],[Position]]="",AA107,Table_BDD[[#This Row],[Equité après trade]]-Table_BDD[[#This Row],[Profit]]-Table_BDD[[#This Row],[Echange]])</f>
        <v>912.94</v>
      </c>
      <c r="AB108" s="149">
        <f>$B$1+SUM($L$4:M108)</f>
        <v>913.31000000000006</v>
      </c>
      <c r="AC108" s="150">
        <f>IF(Table_BDD[[#This Row],[Position]]="","",_xlfn.MINIFS(Table_BDD[Horodatage ouverture],Table_BDD[Date],Table_BDD[Date]))</f>
        <v>43874.650868055556</v>
      </c>
      <c r="AD108" s="149">
        <f>VLOOKUP(_xlfn.MINIFS(Table_BDD[Horodatage ouverture],Table_BDD[Date],Table_BDD[Date]),Table_BDD[[Horodatage ouverture]:[Heure derniere valeur]],AA$2)</f>
        <v>920.68000000000006</v>
      </c>
      <c r="AE108" s="149">
        <f>IF(VLOOKUP(_xlfn.MINIFS(Table_BDD[Horodatage ouverture],Table_BDD[Date],Table_BDD[Date]),Table_BDD[[Horodatage ouverture]:[Heure derniere valeur]],AA$2)=Table_BDD[[#This Row],[Equité avant trade]],VLOOKUP(_xlfn.MINIFS(Table_BDD[Horodatage ouverture],Table_BDD[Date],Table_BDD[Date]),Table_BDD[[Horodatage ouverture]:[Heure derniere valeur]],AA$2),0)</f>
        <v>0</v>
      </c>
      <c r="AF108" s="150">
        <f>IF(Table_BDD[[#This Row],[Position]]="","",_xlfn.MAXIFS(Table_BDD[Horodatage ouverture],Table_BDD[Date],Table_BDD[Date]))</f>
        <v>43874.763055555559</v>
      </c>
      <c r="AG108" s="32">
        <f>VLOOKUP(_xlfn.MAXIFS(Table_BDD[Horodatage cloture],Table_BDD[Date],Table_BDD[Date]),Table_BDD[[Horodatage ouverture]:[Heure derniere valeur]],AB$2)</f>
        <v>867.85</v>
      </c>
      <c r="AH108" s="32">
        <f>IF(VLOOKUP(_xlfn.MAXIFS(Table_BDD[Horodatage cloture],Table_BDD[Date],Table_BDD[Date]),Table_BDD[[Horodatage ouverture]:[Heure derniere valeur]],AB$2)=Table_BDD[[#This Row],[Equité après trade]],VLOOKUP(_xlfn.MAXIFS(Table_BDD[Horodatage cloture],Table_BDD[Date],Table_BDD[Date]),Table_BDD[[Horodatage ouverture]:[Heure derniere valeur]],AB$2),0)</f>
        <v>0</v>
      </c>
      <c r="AI108" s="32" t="e">
        <f>IF(Table_BDD[[#This Row],[Valeur fin de journée unique]]=0,#N/A,Table_BDD[[#This Row],[Valeur fin de journée unique]])</f>
        <v>#N/A</v>
      </c>
      <c r="AJ108" s="35">
        <f>IF(Table_BDD[[#This Row],[Position]]="","",(Table_BDD[[#This Row],[Equité après trade]]-Table_BDD[[#This Row],[Equité avant trade]])/Table_BDD[[#This Row],[Equité avant trade]])</f>
        <v>4.0528402742787535E-4</v>
      </c>
      <c r="AK108" s="35" t="str">
        <f>IFERROR(((INDEX(Table_BDD[[Trade n°]:[Valeur fin de journée unique]],Table_BDD[[#This Row],[Nb de trade du jour]]+Table_BDD[[#This Row],[Trade n°]]-1,21))-Table_BDD[[#This Row],[Valeur début de journée unique]])/Table_BDD[[#This Row],[Valeur début de journée unique]],"")</f>
        <v/>
      </c>
      <c r="AL108" s="32">
        <f>IF(Table_BDD[[#This Row],[Position]]="","",MAX(Table_BDD[[#This Row],[Cumul équité]],AL107))</f>
        <v>1052.8399999999999</v>
      </c>
      <c r="AM108" s="32">
        <f>IF(Table_BDD[[#This Row],[Position]]="","",MIN(Table_BDD[[#This Row],[Cumul équité]],AL107))</f>
        <v>913.31000000000006</v>
      </c>
      <c r="AN108" s="97">
        <f>IF(Table_BDD[[#This Row],[Sommet Drawdown]]&gt;AL107,"",Table_BDD[[#This Row],[Creux Drawdown]]/Table_BDD[[#This Row],[Sommet Drawdown]]-1)</f>
        <v>-0.13252725960259859</v>
      </c>
      <c r="AO108" s="36">
        <f>IF(Table_BDD[[#This Row],[Position]]="","",IF(Table_BDD[[#This Row],[Type]]="buy",ROUND(Table_BDD[[#This Row],[Lvl Sortie]]-Table_BDD[[#This Row],[Lvl Entrée]],1),ROUND(Table_BDD[[#This Row],[Lvl Entrée]]-Table_BDD[[#This Row],[Lvl Sortie]],1)))</f>
        <v>0.8</v>
      </c>
      <c r="AP108" s="36">
        <f>IF(Table_BDD[[#This Row],[Points]]&gt;0,Table_BDD[[#This Row],[Points]],"")</f>
        <v>0.8</v>
      </c>
      <c r="AQ108" s="36" t="str">
        <f>IF(Table_BDD[[#This Row],[Points]]&lt;0,Table_BDD[[#This Row],[Points]],"")</f>
        <v/>
      </c>
      <c r="AR108" s="36">
        <f>SUM($AO$4:AO108)</f>
        <v>-189.2</v>
      </c>
      <c r="AS108" s="68">
        <f>IF(Table_BDD[[#This Row],[Position]]="","",IF(Table_BDD[[#This Row],[Conformité]]="Conforme",1,0))</f>
        <v>0</v>
      </c>
      <c r="AT108" s="68">
        <f>IF(Table_BDD[[#This Row],[Position]]="","",IF(Table_BDD[[#This Row],[Conformité]]="Non conforme",1,0))</f>
        <v>1</v>
      </c>
      <c r="AU108" s="37" t="s">
        <v>17</v>
      </c>
      <c r="AV108" s="37"/>
      <c r="AW108" s="37"/>
      <c r="AX108" s="37">
        <v>0</v>
      </c>
      <c r="AY108" s="37">
        <v>0</v>
      </c>
      <c r="AZ108" s="37">
        <v>0</v>
      </c>
      <c r="BA108" s="40" t="str">
        <f>IF(Table_BDD[[#This Row],[Position]]="","Sans objet",IF(AND(Table_BDD[[#This Row],[Type]]="sell",Table_BDD[[#This Row],[S / L]]&lt;Table_BDD[[#This Row],[Lvl Entrée]],Table_BDD[[#This Row],[Lvl Sortie]]&lt;=Table_BDD[[#This Row],[S / L]]+2,Table_BDD[[#This Row],[Lvl Sortie]]&lt;Table_BDD[[#This Row],[Lvl Entrée]]-19),"Oui",IF(AND(Table_BDD[[#This Row],[Type]]="buy",Table_BDD[[#This Row],[S / L]]&gt;Table_BDD[[#This Row],[Lvl Entrée]],Table_BDD[[#This Row],[Lvl Sortie]]&gt;=Table_BDD[[#This Row],[S / L]]-2,Table_BDD[[#This Row],[S / L]]&gt;Table_BDD[[#This Row],[Lvl Entrée]]+19),"Oui","Non")))</f>
        <v>Non</v>
      </c>
      <c r="BB108" s="40" t="str">
        <f>IF(Table_BDD[[#This Row],[Position]]="","Sans objet",IF(AND(Table_BDD[[#This Row],[Type]]="sell",Table_BDD[[#This Row],[S / L]]&lt;Table_BDD[[#This Row],[Lvl Entrée]],Table_BDD[[#This Row],[Points]]&gt;=-1),"Oui",IF(AND(Table_BDD[[#This Row],[Type]]="sell",Table_BDD[[#This Row],[S / L]]&gt;Table_BDD[[#This Row],[Lvl Entrée]]),"Non",IF(AND(Table_BDD[[#This Row],[Type]]="buy",Table_BDD[[#This Row],[S / L]]&lt;Table_BDD[[#This Row],[Lvl Entrée]]),"Non",IF(AND(Table_BDD[[#This Row],[Type]]="buy",Table_BDD[[#This Row],[S / L]]&gt;Table_BDD[[#This Row],[Lvl Entrée]],Table_BDD[[#This Row],[Points]]&gt;=-1),"Oui")))))</f>
        <v>Oui</v>
      </c>
      <c r="BC108" s="40" t="str">
        <f>IF(Table_BDD[[#This Row],[Position]]="","Sans objet",IF(Table_BDD[[#This Row],[T / P]]="","Non",IF(AND(Table_BDD[[#This Row],[Type]]="sell",Table_BDD[[#This Row],[Lvl Sortie]]&lt;=Table_BDD[[#This Row],[T / P]]),"Oui",IF(AND(Table_BDD[[#This Row],[Type]]="buy",Table_BDD[[#This Row],[Lvl Sortie]]&gt;=Table_BDD[[#This Row],[T / P]]),"Oui","Non"))))</f>
        <v>Non</v>
      </c>
      <c r="BD108" s="91">
        <f t="array" ref="BD108">IFERROR(INDEX(downloadFile[#All],MATCH(Table_BDD[[#This Row],[Date]],downloadFile[[#All],[Column1]],0),2),BD107)</f>
        <v>1.0867</v>
      </c>
      <c r="BE108" s="89">
        <f>IF(Table_BDD[[#This Row],[Position]]="","",IF(Table_BDD[[#This Row],[Symbole]]="UsaInd",(Table_BDD[[#This Row],[Volume]]*Table_BDD[[#This Row],[Lvl Entrée]])/(Table_BDD[[#This Row],[Equité avant trade]]*Table_BDD[[#This Row],[EUR/USD]]),IF(Table_BDD[[#This Row],[Symbole]]="Ger30",(Table_BDD[[#This Row],[Volume]]*Table_BDD[[#This Row],[Lvl Entrée]])/Table_BDD[[#This Row],[Equité avant trade]],)))</f>
        <v>14.820507081693757</v>
      </c>
      <c r="BF108" s="38">
        <f>IF(Table_BDD[[#This Row],[Position]]="","",IF(Table_BDD[[#This Row],[Conformité]]="Non conforme",0,(MROUND(3*((Table_BDD[[#This Row],[Conviction]]+Table_BDD[[#This Row],[Timing]]+Table_BDD[[#This Row],[Sortie]])+1)-2,1))))</f>
        <v>0</v>
      </c>
      <c r="BG108" s="38" t="str">
        <f>IF(Table_BDD[[#This Row],[Position]]="","",IF(Table_BDD[[#This Row],[Points]]&lt;-5,"--",IF(AND(Table_BDD[[#This Row],[Points]]&gt;=-5,Table_BDD[[#This Row],[Points]]&lt;-1.5),"-",IF(AND(Table_BDD[[#This Row],[Points]]&gt;=-1.5,Table_BDD[[#This Row],[Points]]&lt;1.5),"0",IF(AND(Table_BDD[[#This Row],[Points]]&gt;=1.5,Table_BDD[[#This Row],[Points]]&lt;=70),"+",IF(Table_BDD[[#This Row],[Points]]&gt;70,"++"))))))</f>
        <v>0</v>
      </c>
      <c r="BH108" s="37" t="str">
        <f>IF(Table_BDD[[#This Row],[Position]]="","",IF(Table_BDD[[#This Row],[Points]]&gt;0,"Gagnant",IF(Table_BDD[[#This Row],[Points]]=0,"Flat","Perdant")))</f>
        <v>Gagnant</v>
      </c>
      <c r="BI108" s="40">
        <f>IF(Table_BDD[[#This Row],[Position]]="","",IF(Table_BDD[[#This Row],[Résultat]]="Gagnant",1,0))</f>
        <v>1</v>
      </c>
      <c r="BJ108" s="40">
        <f>IF(Table_BDD[[#This Row],[Position]]="","",IF(Table_BDD[[#This Row],[Résultat]]="Perdant",1,0))</f>
        <v>0</v>
      </c>
      <c r="BK108" s="40"/>
      <c r="BL108" s="145">
        <f>IF(Table_BDD[[#This Row],[T / P]]="","",Table_BDD[[#This Row],[T / P]])</f>
        <v>29216.61</v>
      </c>
      <c r="BM108" s="147"/>
      <c r="BN108" s="147"/>
      <c r="BO108" s="147"/>
      <c r="BP108" s="147"/>
      <c r="BQ108" s="127"/>
    </row>
    <row r="109" spans="1:69" x14ac:dyDescent="0.2">
      <c r="A109" s="93">
        <v>43874.684189814812</v>
      </c>
      <c r="B109" s="94">
        <v>259914277</v>
      </c>
      <c r="C109" s="37" t="s">
        <v>8</v>
      </c>
      <c r="D109" s="37" t="s">
        <v>10</v>
      </c>
      <c r="E109" s="37">
        <v>0.5</v>
      </c>
      <c r="F109" s="95">
        <v>29391.81</v>
      </c>
      <c r="G109" s="95">
        <v>29401.81</v>
      </c>
      <c r="H109" s="95">
        <v>29256.080000000002</v>
      </c>
      <c r="I109" s="93">
        <v>43874.685381944444</v>
      </c>
      <c r="J109" s="95">
        <v>29401.96</v>
      </c>
      <c r="K109" s="95">
        <v>0</v>
      </c>
      <c r="L109" s="95">
        <v>0</v>
      </c>
      <c r="M109" s="32">
        <v>-4.6900000000000004</v>
      </c>
      <c r="N109" s="148">
        <f>IF(Table_BDD[[#This Row],[Position]]="","",ROW()-3)</f>
        <v>106</v>
      </c>
      <c r="O109" s="32">
        <f>SUM($L$4:M109)</f>
        <v>-91.379999999999953</v>
      </c>
      <c r="P109" s="32">
        <f>Table_BDD[[#This Row],[Equité avant trade]]+Table_BDD[[#This Row],[Profit]]+Table_BDD[[#This Row],[Echange]]</f>
        <v>908.62</v>
      </c>
      <c r="Q109" s="52">
        <f>INT(Table_BDD[[#This Row],[Horodatage cloture]])</f>
        <v>43874</v>
      </c>
      <c r="R109" s="34">
        <f>WEEKNUM(Table_BDD[[#This Row],[Horodatage cloture]],2)</f>
        <v>7</v>
      </c>
      <c r="S109" s="61">
        <f>WEEKDAY(Table_BDD[[#This Row],[Horodatage cloture]])</f>
        <v>5</v>
      </c>
      <c r="T109" s="63">
        <f>HOUR(Table_BDD[[#This Row],[Horodatage cloture]])</f>
        <v>16</v>
      </c>
      <c r="U109" s="68">
        <f>IF(Table_BDD[[#This Row],[Position]]="","",IF(Table_BDD[[#This Row],[Valeur début de journée unique]]&lt;&gt;0,1,0))</f>
        <v>0</v>
      </c>
      <c r="V109" s="68" t="str">
        <f>IF(Table_BDD[[#This Row],[Nb de séance de trading]]=1,COUNTIF(Table_BDD[Date],Table_BDD[[#This Row],[Date]]),"")</f>
        <v/>
      </c>
      <c r="W109" s="33">
        <f>IF(Table_BDD[[#This Row],[Position]]="","",IF(Table_BDD[[#This Row],[Type]]="buy",ROUND(Table_BDD[[#This Row],[Lvl Entrée]]-Table_BDD[[#This Row],[S / L]],1),ROUND(Table_BDD[[#This Row],[S / L]]-Table_BDD[[#This Row],[Lvl Entrée]],1)))</f>
        <v>10</v>
      </c>
      <c r="X109" s="33">
        <f>IF(Table_BDD[[#This Row],[Position]]="","",IF(Table_BDD[[#This Row],[T / P]]=0,200,IF(Table_BDD[[#This Row],[Type]]="buy",ROUND(Table_BDD[[#This Row],[T / P]]-Table_BDD[[#This Row],[Lvl Entrée]],1),ROUND(Table_BDD[[#This Row],[Lvl Entrée]]-Table_BDD[[#This Row],[T / P]],1))))</f>
        <v>135.69999999999999</v>
      </c>
      <c r="Y109" s="34">
        <f>IF(Table_BDD[[#This Row],[Position]]="","",IF(Table_BDD[[#This Row],[Ecart du SL]]&gt;0,ROUND(ABS(Table_BDD[[#This Row],[Ecart du TP]])/ABS(Table_BDD[[#This Row],[Ecart du SL]]),1),ROUND(ABS(Table_BDD[[#This Row],[Ecart du TP]])/10,1)))</f>
        <v>13.6</v>
      </c>
      <c r="Z109" s="34">
        <f>IF(Table_BDD[[#This Row],[Position]]="","",IF(Table_BDD[[#This Row],[Ecart du SL]]&lt;0,IF(AND(Table_BDD[[#This Row],[Profit]]&gt;0,Table_BDD[[#This Row],[Type]]="sell"),ROUND((Table_BDD[[#This Row],[Lvl Entrée]]-Table_BDD[[#This Row],[Lvl Sortie]])/(10),1),IF(AND(Table_BDD[[#This Row],[Profit]]&gt;0,Table_BDD[[#This Row],[Type]]="buy"),ROUND((Table_BDD[[#This Row],[Lvl Sortie]]-Table_BDD[[#This Row],[Lvl Entrée]])/(10),1),)),IF(AND(Table_BDD[[#This Row],[Profit]]&gt;0,Table_BDD[[#This Row],[Type]]="sell"),ROUND((Table_BDD[[#This Row],[Lvl Entrée]]-Table_BDD[[#This Row],[Lvl Sortie]])/(Table_BDD[[#This Row],[S / L]]-Table_BDD[[#This Row],[Lvl Entrée]]),1),IF(AND(Table_BDD[[#This Row],[Profit]]&gt;0,Table_BDD[[#This Row],[Type]]="buy"),ROUND((Table_BDD[[#This Row],[Lvl Sortie]]-Table_BDD[[#This Row],[Lvl Entrée]])/(Table_BDD[[#This Row],[Lvl Entrée]]-Table_BDD[[#This Row],[S / L]]),1),ROUND(Table_BDD[[#This Row],[Points]]/10,1)))))</f>
        <v>-1</v>
      </c>
      <c r="AA109" s="32">
        <f>IF(Table_BDD[[#This Row],[Position]]="",AA108,Table_BDD[[#This Row],[Equité après trade]]-Table_BDD[[#This Row],[Profit]]-Table_BDD[[#This Row],[Echange]])</f>
        <v>913.31000000000006</v>
      </c>
      <c r="AB109" s="149">
        <f>$B$1+SUM($L$4:M109)</f>
        <v>908.62</v>
      </c>
      <c r="AC109" s="150">
        <f>IF(Table_BDD[[#This Row],[Position]]="","",_xlfn.MINIFS(Table_BDD[Horodatage ouverture],Table_BDD[Date],Table_BDD[Date]))</f>
        <v>43874.650868055556</v>
      </c>
      <c r="AD109" s="149">
        <f>VLOOKUP(_xlfn.MINIFS(Table_BDD[Horodatage ouverture],Table_BDD[Date],Table_BDD[Date]),Table_BDD[[Horodatage ouverture]:[Heure derniere valeur]],AA$2)</f>
        <v>920.68000000000006</v>
      </c>
      <c r="AE109" s="149">
        <f>IF(VLOOKUP(_xlfn.MINIFS(Table_BDD[Horodatage ouverture],Table_BDD[Date],Table_BDD[Date]),Table_BDD[[Horodatage ouverture]:[Heure derniere valeur]],AA$2)=Table_BDD[[#This Row],[Equité avant trade]],VLOOKUP(_xlfn.MINIFS(Table_BDD[Horodatage ouverture],Table_BDD[Date],Table_BDD[Date]),Table_BDD[[Horodatage ouverture]:[Heure derniere valeur]],AA$2),0)</f>
        <v>0</v>
      </c>
      <c r="AF109" s="150">
        <f>IF(Table_BDD[[#This Row],[Position]]="","",_xlfn.MAXIFS(Table_BDD[Horodatage ouverture],Table_BDD[Date],Table_BDD[Date]))</f>
        <v>43874.763055555559</v>
      </c>
      <c r="AG109" s="32">
        <f>VLOOKUP(_xlfn.MAXIFS(Table_BDD[Horodatage cloture],Table_BDD[Date],Table_BDD[Date]),Table_BDD[[Horodatage ouverture]:[Heure derniere valeur]],AB$2)</f>
        <v>867.85</v>
      </c>
      <c r="AH109" s="32">
        <f>IF(VLOOKUP(_xlfn.MAXIFS(Table_BDD[Horodatage cloture],Table_BDD[Date],Table_BDD[Date]),Table_BDD[[Horodatage ouverture]:[Heure derniere valeur]],AB$2)=Table_BDD[[#This Row],[Equité après trade]],VLOOKUP(_xlfn.MAXIFS(Table_BDD[Horodatage cloture],Table_BDD[Date],Table_BDD[Date]),Table_BDD[[Horodatage ouverture]:[Heure derniere valeur]],AB$2),0)</f>
        <v>0</v>
      </c>
      <c r="AI109" s="32" t="e">
        <f>IF(Table_BDD[[#This Row],[Valeur fin de journée unique]]=0,#N/A,Table_BDD[[#This Row],[Valeur fin de journée unique]])</f>
        <v>#N/A</v>
      </c>
      <c r="AJ109" s="35">
        <f>IF(Table_BDD[[#This Row],[Position]]="","",(Table_BDD[[#This Row],[Equité après trade]]-Table_BDD[[#This Row],[Equité avant trade]])/Table_BDD[[#This Row],[Equité avant trade]])</f>
        <v>-5.13516768676578E-3</v>
      </c>
      <c r="AK109" s="35" t="str">
        <f>IFERROR(((INDEX(Table_BDD[[Trade n°]:[Valeur fin de journée unique]],Table_BDD[[#This Row],[Nb de trade du jour]]+Table_BDD[[#This Row],[Trade n°]]-1,21))-Table_BDD[[#This Row],[Valeur début de journée unique]])/Table_BDD[[#This Row],[Valeur début de journée unique]],"")</f>
        <v/>
      </c>
      <c r="AL109" s="32">
        <f>IF(Table_BDD[[#This Row],[Position]]="","",MAX(Table_BDD[[#This Row],[Cumul équité]],AL108))</f>
        <v>1052.8399999999999</v>
      </c>
      <c r="AM109" s="32">
        <f>IF(Table_BDD[[#This Row],[Position]]="","",MIN(Table_BDD[[#This Row],[Cumul équité]],AL108))</f>
        <v>908.62</v>
      </c>
      <c r="AN109" s="97">
        <f>IF(Table_BDD[[#This Row],[Sommet Drawdown]]&gt;AL108,"",Table_BDD[[#This Row],[Creux Drawdown]]/Table_BDD[[#This Row],[Sommet Drawdown]]-1)</f>
        <v>-0.13698187758823743</v>
      </c>
      <c r="AO109" s="36">
        <f>IF(Table_BDD[[#This Row],[Position]]="","",IF(Table_BDD[[#This Row],[Type]]="buy",ROUND(Table_BDD[[#This Row],[Lvl Sortie]]-Table_BDD[[#This Row],[Lvl Entrée]],1),ROUND(Table_BDD[[#This Row],[Lvl Entrée]]-Table_BDD[[#This Row],[Lvl Sortie]],1)))</f>
        <v>-10.1</v>
      </c>
      <c r="AP109" s="36" t="str">
        <f>IF(Table_BDD[[#This Row],[Points]]&gt;0,Table_BDD[[#This Row],[Points]],"")</f>
        <v/>
      </c>
      <c r="AQ109" s="36">
        <f>IF(Table_BDD[[#This Row],[Points]]&lt;0,Table_BDD[[#This Row],[Points]],"")</f>
        <v>-10.1</v>
      </c>
      <c r="AR109" s="36">
        <f>SUM($AO$4:AO109)</f>
        <v>-199.29999999999998</v>
      </c>
      <c r="AS109" s="68">
        <f>IF(Table_BDD[[#This Row],[Position]]="","",IF(Table_BDD[[#This Row],[Conformité]]="Conforme",1,0))</f>
        <v>0</v>
      </c>
      <c r="AT109" s="68">
        <f>IF(Table_BDD[[#This Row],[Position]]="","",IF(Table_BDD[[#This Row],[Conformité]]="Non conforme",1,0))</f>
        <v>1</v>
      </c>
      <c r="AU109" s="37" t="s">
        <v>17</v>
      </c>
      <c r="AV109" s="37"/>
      <c r="AW109" s="37"/>
      <c r="AX109" s="37">
        <v>0</v>
      </c>
      <c r="AY109" s="37">
        <v>0</v>
      </c>
      <c r="AZ109" s="37">
        <v>0</v>
      </c>
      <c r="BA109" s="40" t="str">
        <f>IF(Table_BDD[[#This Row],[Position]]="","Sans objet",IF(AND(Table_BDD[[#This Row],[Type]]="sell",Table_BDD[[#This Row],[S / L]]&lt;Table_BDD[[#This Row],[Lvl Entrée]],Table_BDD[[#This Row],[Lvl Sortie]]&lt;=Table_BDD[[#This Row],[S / L]]+2,Table_BDD[[#This Row],[Lvl Sortie]]&lt;Table_BDD[[#This Row],[Lvl Entrée]]-19),"Oui",IF(AND(Table_BDD[[#This Row],[Type]]="buy",Table_BDD[[#This Row],[S / L]]&gt;Table_BDD[[#This Row],[Lvl Entrée]],Table_BDD[[#This Row],[Lvl Sortie]]&gt;=Table_BDD[[#This Row],[S / L]]-2,Table_BDD[[#This Row],[S / L]]&gt;Table_BDD[[#This Row],[Lvl Entrée]]+19),"Oui","Non")))</f>
        <v>Non</v>
      </c>
      <c r="BB109" s="40" t="str">
        <f>IF(Table_BDD[[#This Row],[Position]]="","Sans objet",IF(AND(Table_BDD[[#This Row],[Type]]="sell",Table_BDD[[#This Row],[S / L]]&lt;Table_BDD[[#This Row],[Lvl Entrée]],Table_BDD[[#This Row],[Points]]&gt;=-1),"Oui",IF(AND(Table_BDD[[#This Row],[Type]]="sell",Table_BDD[[#This Row],[S / L]]&gt;Table_BDD[[#This Row],[Lvl Entrée]]),"Non",IF(AND(Table_BDD[[#This Row],[Type]]="buy",Table_BDD[[#This Row],[S / L]]&lt;Table_BDD[[#This Row],[Lvl Entrée]]),"Non",IF(AND(Table_BDD[[#This Row],[Type]]="buy",Table_BDD[[#This Row],[S / L]]&gt;Table_BDD[[#This Row],[Lvl Entrée]],Table_BDD[[#This Row],[Points]]&gt;=-1),"Oui")))))</f>
        <v>Non</v>
      </c>
      <c r="BC109" s="40" t="str">
        <f>IF(Table_BDD[[#This Row],[Position]]="","Sans objet",IF(Table_BDD[[#This Row],[T / P]]="","Non",IF(AND(Table_BDD[[#This Row],[Type]]="sell",Table_BDD[[#This Row],[Lvl Sortie]]&lt;=Table_BDD[[#This Row],[T / P]]),"Oui",IF(AND(Table_BDD[[#This Row],[Type]]="buy",Table_BDD[[#This Row],[Lvl Sortie]]&gt;=Table_BDD[[#This Row],[T / P]]),"Oui","Non"))))</f>
        <v>Non</v>
      </c>
      <c r="BD109" s="91">
        <f t="array" ref="BD109">IFERROR(INDEX(downloadFile[#All],MATCH(Table_BDD[[#This Row],[Date]],downloadFile[[#All],[Column1]],0),2),BD108)</f>
        <v>1.0867</v>
      </c>
      <c r="BE109" s="89">
        <f>IF(Table_BDD[[#This Row],[Position]]="","",IF(Table_BDD[[#This Row],[Symbole]]="UsaInd",(Table_BDD[[#This Row],[Volume]]*Table_BDD[[#This Row],[Lvl Entrée]])/(Table_BDD[[#This Row],[Equité avant trade]]*Table_BDD[[#This Row],[EUR/USD]]),IF(Table_BDD[[#This Row],[Symbole]]="Ger30",(Table_BDD[[#This Row],[Volume]]*Table_BDD[[#This Row],[Lvl Entrée]])/Table_BDD[[#This Row],[Equité avant trade]],)))</f>
        <v>14.807047035611379</v>
      </c>
      <c r="BF109" s="38">
        <f>IF(Table_BDD[[#This Row],[Position]]="","",IF(Table_BDD[[#This Row],[Conformité]]="Non conforme",0,(MROUND(3*((Table_BDD[[#This Row],[Conviction]]+Table_BDD[[#This Row],[Timing]]+Table_BDD[[#This Row],[Sortie]])+1)-2,1))))</f>
        <v>0</v>
      </c>
      <c r="BG109" s="38" t="str">
        <f>IF(Table_BDD[[#This Row],[Position]]="","",IF(Table_BDD[[#This Row],[Points]]&lt;-5,"--",IF(AND(Table_BDD[[#This Row],[Points]]&gt;=-5,Table_BDD[[#This Row],[Points]]&lt;-1.5),"-",IF(AND(Table_BDD[[#This Row],[Points]]&gt;=-1.5,Table_BDD[[#This Row],[Points]]&lt;1.5),"0",IF(AND(Table_BDD[[#This Row],[Points]]&gt;=1.5,Table_BDD[[#This Row],[Points]]&lt;=70),"+",IF(Table_BDD[[#This Row],[Points]]&gt;70,"++"))))))</f>
        <v>--</v>
      </c>
      <c r="BH109" s="37" t="str">
        <f>IF(Table_BDD[[#This Row],[Position]]="","",IF(Table_BDD[[#This Row],[Points]]&gt;0,"Gagnant",IF(Table_BDD[[#This Row],[Points]]=0,"Flat","Perdant")))</f>
        <v>Perdant</v>
      </c>
      <c r="BI109" s="40">
        <f>IF(Table_BDD[[#This Row],[Position]]="","",IF(Table_BDD[[#This Row],[Résultat]]="Gagnant",1,0))</f>
        <v>0</v>
      </c>
      <c r="BJ109" s="40">
        <f>IF(Table_BDD[[#This Row],[Position]]="","",IF(Table_BDD[[#This Row],[Résultat]]="Perdant",1,0))</f>
        <v>1</v>
      </c>
      <c r="BK109" s="40"/>
      <c r="BL109" s="145">
        <f>IF(Table_BDD[[#This Row],[T / P]]="","",Table_BDD[[#This Row],[T / P]])</f>
        <v>29256.080000000002</v>
      </c>
      <c r="BM109" s="147"/>
      <c r="BN109" s="147"/>
      <c r="BO109" s="147"/>
      <c r="BP109" s="147"/>
      <c r="BQ109" s="127"/>
    </row>
    <row r="110" spans="1:69" x14ac:dyDescent="0.2">
      <c r="A110" s="93">
        <v>43874.685486111113</v>
      </c>
      <c r="B110" s="94">
        <v>259914448</v>
      </c>
      <c r="C110" s="37" t="s">
        <v>8</v>
      </c>
      <c r="D110" s="37" t="s">
        <v>10</v>
      </c>
      <c r="E110" s="37">
        <v>0.5</v>
      </c>
      <c r="F110" s="95">
        <v>29403.81</v>
      </c>
      <c r="G110" s="95">
        <v>29402.31</v>
      </c>
      <c r="H110" s="95">
        <v>29223.81</v>
      </c>
      <c r="I110" s="93">
        <v>43874.699097222219</v>
      </c>
      <c r="J110" s="95">
        <v>29402.81</v>
      </c>
      <c r="K110" s="95">
        <v>0</v>
      </c>
      <c r="L110" s="95">
        <v>0</v>
      </c>
      <c r="M110" s="32">
        <v>0.46</v>
      </c>
      <c r="N110" s="148">
        <f>IF(Table_BDD[[#This Row],[Position]]="","",ROW()-3)</f>
        <v>107</v>
      </c>
      <c r="O110" s="32">
        <f>SUM($L$4:M110)</f>
        <v>-90.919999999999959</v>
      </c>
      <c r="P110" s="32">
        <f>Table_BDD[[#This Row],[Equité avant trade]]+Table_BDD[[#This Row],[Profit]]+Table_BDD[[#This Row],[Echange]]</f>
        <v>909.08</v>
      </c>
      <c r="Q110" s="52">
        <f>INT(Table_BDD[[#This Row],[Horodatage cloture]])</f>
        <v>43874</v>
      </c>
      <c r="R110" s="34">
        <f>WEEKNUM(Table_BDD[[#This Row],[Horodatage cloture]],2)</f>
        <v>7</v>
      </c>
      <c r="S110" s="61">
        <f>WEEKDAY(Table_BDD[[#This Row],[Horodatage cloture]])</f>
        <v>5</v>
      </c>
      <c r="T110" s="63">
        <f>HOUR(Table_BDD[[#This Row],[Horodatage cloture]])</f>
        <v>16</v>
      </c>
      <c r="U110" s="68">
        <f>IF(Table_BDD[[#This Row],[Position]]="","",IF(Table_BDD[[#This Row],[Valeur début de journée unique]]&lt;&gt;0,1,0))</f>
        <v>0</v>
      </c>
      <c r="V110" s="68" t="str">
        <f>IF(Table_BDD[[#This Row],[Nb de séance de trading]]=1,COUNTIF(Table_BDD[Date],Table_BDD[[#This Row],[Date]]),"")</f>
        <v/>
      </c>
      <c r="W110" s="33">
        <f>IF(Table_BDD[[#This Row],[Position]]="","",IF(Table_BDD[[#This Row],[Type]]="buy",ROUND(Table_BDD[[#This Row],[Lvl Entrée]]-Table_BDD[[#This Row],[S / L]],1),ROUND(Table_BDD[[#This Row],[S / L]]-Table_BDD[[#This Row],[Lvl Entrée]],1)))</f>
        <v>-1.5</v>
      </c>
      <c r="X110" s="33">
        <f>IF(Table_BDD[[#This Row],[Position]]="","",IF(Table_BDD[[#This Row],[T / P]]=0,200,IF(Table_BDD[[#This Row],[Type]]="buy",ROUND(Table_BDD[[#This Row],[T / P]]-Table_BDD[[#This Row],[Lvl Entrée]],1),ROUND(Table_BDD[[#This Row],[Lvl Entrée]]-Table_BDD[[#This Row],[T / P]],1))))</f>
        <v>180</v>
      </c>
      <c r="Y110" s="34">
        <f>IF(Table_BDD[[#This Row],[Position]]="","",IF(Table_BDD[[#This Row],[Ecart du SL]]&gt;0,ROUND(ABS(Table_BDD[[#This Row],[Ecart du TP]])/ABS(Table_BDD[[#This Row],[Ecart du SL]]),1),ROUND(ABS(Table_BDD[[#This Row],[Ecart du TP]])/10,1)))</f>
        <v>18</v>
      </c>
      <c r="Z110" s="34">
        <f>IF(Table_BDD[[#This Row],[Position]]="","",IF(Table_BDD[[#This Row],[Ecart du SL]]&lt;0,IF(AND(Table_BDD[[#This Row],[Profit]]&gt;0,Table_BDD[[#This Row],[Type]]="sell"),ROUND((Table_BDD[[#This Row],[Lvl Entrée]]-Table_BDD[[#This Row],[Lvl Sortie]])/(10),1),IF(AND(Table_BDD[[#This Row],[Profit]]&gt;0,Table_BDD[[#This Row],[Type]]="buy"),ROUND((Table_BDD[[#This Row],[Lvl Sortie]]-Table_BDD[[#This Row],[Lvl Entrée]])/(10),1),)),IF(AND(Table_BDD[[#This Row],[Profit]]&gt;0,Table_BDD[[#This Row],[Type]]="sell"),ROUND((Table_BDD[[#This Row],[Lvl Entrée]]-Table_BDD[[#This Row],[Lvl Sortie]])/(Table_BDD[[#This Row],[S / L]]-Table_BDD[[#This Row],[Lvl Entrée]]),1),IF(AND(Table_BDD[[#This Row],[Profit]]&gt;0,Table_BDD[[#This Row],[Type]]="buy"),ROUND((Table_BDD[[#This Row],[Lvl Sortie]]-Table_BDD[[#This Row],[Lvl Entrée]])/(Table_BDD[[#This Row],[Lvl Entrée]]-Table_BDD[[#This Row],[S / L]]),1),ROUND(Table_BDD[[#This Row],[Points]]/10,1)))))</f>
        <v>0.1</v>
      </c>
      <c r="AA110" s="32">
        <f>IF(Table_BDD[[#This Row],[Position]]="",AA109,Table_BDD[[#This Row],[Equité après trade]]-Table_BDD[[#This Row],[Profit]]-Table_BDD[[#This Row],[Echange]])</f>
        <v>908.62</v>
      </c>
      <c r="AB110" s="149">
        <f>$B$1+SUM($L$4:M110)</f>
        <v>909.08</v>
      </c>
      <c r="AC110" s="150">
        <f>IF(Table_BDD[[#This Row],[Position]]="","",_xlfn.MINIFS(Table_BDD[Horodatage ouverture],Table_BDD[Date],Table_BDD[Date]))</f>
        <v>43874.650868055556</v>
      </c>
      <c r="AD110" s="149">
        <f>VLOOKUP(_xlfn.MINIFS(Table_BDD[Horodatage ouverture],Table_BDD[Date],Table_BDD[Date]),Table_BDD[[Horodatage ouverture]:[Heure derniere valeur]],AA$2)</f>
        <v>920.68000000000006</v>
      </c>
      <c r="AE110" s="149">
        <f>IF(VLOOKUP(_xlfn.MINIFS(Table_BDD[Horodatage ouverture],Table_BDD[Date],Table_BDD[Date]),Table_BDD[[Horodatage ouverture]:[Heure derniere valeur]],AA$2)=Table_BDD[[#This Row],[Equité avant trade]],VLOOKUP(_xlfn.MINIFS(Table_BDD[Horodatage ouverture],Table_BDD[Date],Table_BDD[Date]),Table_BDD[[Horodatage ouverture]:[Heure derniere valeur]],AA$2),0)</f>
        <v>0</v>
      </c>
      <c r="AF110" s="150">
        <f>IF(Table_BDD[[#This Row],[Position]]="","",_xlfn.MAXIFS(Table_BDD[Horodatage ouverture],Table_BDD[Date],Table_BDD[Date]))</f>
        <v>43874.763055555559</v>
      </c>
      <c r="AG110" s="32">
        <f>VLOOKUP(_xlfn.MAXIFS(Table_BDD[Horodatage cloture],Table_BDD[Date],Table_BDD[Date]),Table_BDD[[Horodatage ouverture]:[Heure derniere valeur]],AB$2)</f>
        <v>867.85</v>
      </c>
      <c r="AH110" s="32">
        <f>IF(VLOOKUP(_xlfn.MAXIFS(Table_BDD[Horodatage cloture],Table_BDD[Date],Table_BDD[Date]),Table_BDD[[Horodatage ouverture]:[Heure derniere valeur]],AB$2)=Table_BDD[[#This Row],[Equité après trade]],VLOOKUP(_xlfn.MAXIFS(Table_BDD[Horodatage cloture],Table_BDD[Date],Table_BDD[Date]),Table_BDD[[Horodatage ouverture]:[Heure derniere valeur]],AB$2),0)</f>
        <v>0</v>
      </c>
      <c r="AI110" s="32" t="e">
        <f>IF(Table_BDD[[#This Row],[Valeur fin de journée unique]]=0,#N/A,Table_BDD[[#This Row],[Valeur fin de journée unique]])</f>
        <v>#N/A</v>
      </c>
      <c r="AJ110" s="35">
        <f>IF(Table_BDD[[#This Row],[Position]]="","",(Table_BDD[[#This Row],[Equité après trade]]-Table_BDD[[#This Row],[Equité avant trade]])/Table_BDD[[#This Row],[Equité avant trade]])</f>
        <v>5.0626224384235034E-4</v>
      </c>
      <c r="AK110" s="35" t="str">
        <f>IFERROR(((INDEX(Table_BDD[[Trade n°]:[Valeur fin de journée unique]],Table_BDD[[#This Row],[Nb de trade du jour]]+Table_BDD[[#This Row],[Trade n°]]-1,21))-Table_BDD[[#This Row],[Valeur début de journée unique]])/Table_BDD[[#This Row],[Valeur début de journée unique]],"")</f>
        <v/>
      </c>
      <c r="AL110" s="32">
        <f>IF(Table_BDD[[#This Row],[Position]]="","",MAX(Table_BDD[[#This Row],[Cumul équité]],AL109))</f>
        <v>1052.8399999999999</v>
      </c>
      <c r="AM110" s="32">
        <f>IF(Table_BDD[[#This Row],[Position]]="","",MIN(Table_BDD[[#This Row],[Cumul équité]],AL109))</f>
        <v>909.08</v>
      </c>
      <c r="AN110" s="97">
        <f>IF(Table_BDD[[#This Row],[Sommet Drawdown]]&gt;AL109,"",Table_BDD[[#This Row],[Creux Drawdown]]/Table_BDD[[#This Row],[Sommet Drawdown]]-1)</f>
        <v>-0.1365449640971087</v>
      </c>
      <c r="AO110" s="36">
        <f>IF(Table_BDD[[#This Row],[Position]]="","",IF(Table_BDD[[#This Row],[Type]]="buy",ROUND(Table_BDD[[#This Row],[Lvl Sortie]]-Table_BDD[[#This Row],[Lvl Entrée]],1),ROUND(Table_BDD[[#This Row],[Lvl Entrée]]-Table_BDD[[#This Row],[Lvl Sortie]],1)))</f>
        <v>1</v>
      </c>
      <c r="AP110" s="36">
        <f>IF(Table_BDD[[#This Row],[Points]]&gt;0,Table_BDD[[#This Row],[Points]],"")</f>
        <v>1</v>
      </c>
      <c r="AQ110" s="36" t="str">
        <f>IF(Table_BDD[[#This Row],[Points]]&lt;0,Table_BDD[[#This Row],[Points]],"")</f>
        <v/>
      </c>
      <c r="AR110" s="36">
        <f>SUM($AO$4:AO110)</f>
        <v>-198.29999999999998</v>
      </c>
      <c r="AS110" s="68">
        <f>IF(Table_BDD[[#This Row],[Position]]="","",IF(Table_BDD[[#This Row],[Conformité]]="Conforme",1,0))</f>
        <v>0</v>
      </c>
      <c r="AT110" s="68">
        <f>IF(Table_BDD[[#This Row],[Position]]="","",IF(Table_BDD[[#This Row],[Conformité]]="Non conforme",1,0))</f>
        <v>1</v>
      </c>
      <c r="AU110" s="37" t="s">
        <v>17</v>
      </c>
      <c r="AV110" s="37"/>
      <c r="AW110" s="37"/>
      <c r="AX110" s="37">
        <v>0</v>
      </c>
      <c r="AY110" s="37">
        <v>0</v>
      </c>
      <c r="AZ110" s="37">
        <v>0</v>
      </c>
      <c r="BA110" s="40" t="str">
        <f>IF(Table_BDD[[#This Row],[Position]]="","Sans objet",IF(AND(Table_BDD[[#This Row],[Type]]="sell",Table_BDD[[#This Row],[S / L]]&lt;Table_BDD[[#This Row],[Lvl Entrée]],Table_BDD[[#This Row],[Lvl Sortie]]&lt;=Table_BDD[[#This Row],[S / L]]+2,Table_BDD[[#This Row],[Lvl Sortie]]&lt;Table_BDD[[#This Row],[Lvl Entrée]]-19),"Oui",IF(AND(Table_BDD[[#This Row],[Type]]="buy",Table_BDD[[#This Row],[S / L]]&gt;Table_BDD[[#This Row],[Lvl Entrée]],Table_BDD[[#This Row],[Lvl Sortie]]&gt;=Table_BDD[[#This Row],[S / L]]-2,Table_BDD[[#This Row],[S / L]]&gt;Table_BDD[[#This Row],[Lvl Entrée]]+19),"Oui","Non")))</f>
        <v>Non</v>
      </c>
      <c r="BB110" s="40" t="str">
        <f>IF(Table_BDD[[#This Row],[Position]]="","Sans objet",IF(AND(Table_BDD[[#This Row],[Type]]="sell",Table_BDD[[#This Row],[S / L]]&lt;Table_BDD[[#This Row],[Lvl Entrée]],Table_BDD[[#This Row],[Points]]&gt;=-1),"Oui",IF(AND(Table_BDD[[#This Row],[Type]]="sell",Table_BDD[[#This Row],[S / L]]&gt;Table_BDD[[#This Row],[Lvl Entrée]]),"Non",IF(AND(Table_BDD[[#This Row],[Type]]="buy",Table_BDD[[#This Row],[S / L]]&lt;Table_BDD[[#This Row],[Lvl Entrée]]),"Non",IF(AND(Table_BDD[[#This Row],[Type]]="buy",Table_BDD[[#This Row],[S / L]]&gt;Table_BDD[[#This Row],[Lvl Entrée]],Table_BDD[[#This Row],[Points]]&gt;=-1),"Oui")))))</f>
        <v>Oui</v>
      </c>
      <c r="BC110" s="40" t="str">
        <f>IF(Table_BDD[[#This Row],[Position]]="","Sans objet",IF(Table_BDD[[#This Row],[T / P]]="","Non",IF(AND(Table_BDD[[#This Row],[Type]]="sell",Table_BDD[[#This Row],[Lvl Sortie]]&lt;=Table_BDD[[#This Row],[T / P]]),"Oui",IF(AND(Table_BDD[[#This Row],[Type]]="buy",Table_BDD[[#This Row],[Lvl Sortie]]&gt;=Table_BDD[[#This Row],[T / P]]),"Oui","Non"))))</f>
        <v>Non</v>
      </c>
      <c r="BD110" s="91">
        <f t="array" ref="BD110">IFERROR(INDEX(downloadFile[#All],MATCH(Table_BDD[[#This Row],[Date]],downloadFile[[#All],[Column1]],0),2),BD109)</f>
        <v>1.0867</v>
      </c>
      <c r="BE110" s="89">
        <f>IF(Table_BDD[[#This Row],[Position]]="","",IF(Table_BDD[[#This Row],[Symbole]]="UsaInd",(Table_BDD[[#This Row],[Volume]]*Table_BDD[[#This Row],[Lvl Entrée]])/(Table_BDD[[#This Row],[Equité avant trade]]*Table_BDD[[#This Row],[EUR/USD]]),IF(Table_BDD[[#This Row],[Symbole]]="Ger30",(Table_BDD[[#This Row],[Volume]]*Table_BDD[[#This Row],[Lvl Entrée]])/Table_BDD[[#This Row],[Equité avant trade]],)))</f>
        <v>14.889552762564929</v>
      </c>
      <c r="BF110" s="38">
        <f>IF(Table_BDD[[#This Row],[Position]]="","",IF(Table_BDD[[#This Row],[Conformité]]="Non conforme",0,(MROUND(3*((Table_BDD[[#This Row],[Conviction]]+Table_BDD[[#This Row],[Timing]]+Table_BDD[[#This Row],[Sortie]])+1)-2,1))))</f>
        <v>0</v>
      </c>
      <c r="BG110" s="38" t="str">
        <f>IF(Table_BDD[[#This Row],[Position]]="","",IF(Table_BDD[[#This Row],[Points]]&lt;-5,"--",IF(AND(Table_BDD[[#This Row],[Points]]&gt;=-5,Table_BDD[[#This Row],[Points]]&lt;-1.5),"-",IF(AND(Table_BDD[[#This Row],[Points]]&gt;=-1.5,Table_BDD[[#This Row],[Points]]&lt;1.5),"0",IF(AND(Table_BDD[[#This Row],[Points]]&gt;=1.5,Table_BDD[[#This Row],[Points]]&lt;=70),"+",IF(Table_BDD[[#This Row],[Points]]&gt;70,"++"))))))</f>
        <v>0</v>
      </c>
      <c r="BH110" s="37" t="str">
        <f>IF(Table_BDD[[#This Row],[Position]]="","",IF(Table_BDD[[#This Row],[Points]]&gt;0,"Gagnant",IF(Table_BDD[[#This Row],[Points]]=0,"Flat","Perdant")))</f>
        <v>Gagnant</v>
      </c>
      <c r="BI110" s="40">
        <f>IF(Table_BDD[[#This Row],[Position]]="","",IF(Table_BDD[[#This Row],[Résultat]]="Gagnant",1,0))</f>
        <v>1</v>
      </c>
      <c r="BJ110" s="40">
        <f>IF(Table_BDD[[#This Row],[Position]]="","",IF(Table_BDD[[#This Row],[Résultat]]="Perdant",1,0))</f>
        <v>0</v>
      </c>
      <c r="BK110" s="40"/>
      <c r="BL110" s="145">
        <f>IF(Table_BDD[[#This Row],[T / P]]="","",Table_BDD[[#This Row],[T / P]])</f>
        <v>29223.81</v>
      </c>
      <c r="BM110" s="147"/>
      <c r="BN110" s="147"/>
      <c r="BO110" s="147"/>
      <c r="BP110" s="147"/>
      <c r="BQ110" s="127"/>
    </row>
    <row r="111" spans="1:69" x14ac:dyDescent="0.2">
      <c r="A111" s="93">
        <v>43874.701574074075</v>
      </c>
      <c r="B111" s="94">
        <v>259916815</v>
      </c>
      <c r="C111" s="37" t="s">
        <v>8</v>
      </c>
      <c r="D111" s="37" t="s">
        <v>10</v>
      </c>
      <c r="E111" s="37">
        <v>0.5</v>
      </c>
      <c r="F111" s="95">
        <v>29408.959999999999</v>
      </c>
      <c r="G111" s="95">
        <v>29418.959999999999</v>
      </c>
      <c r="H111" s="95"/>
      <c r="I111" s="93">
        <v>43874.70171296296</v>
      </c>
      <c r="J111" s="95">
        <v>29419.01</v>
      </c>
      <c r="K111" s="95">
        <v>0</v>
      </c>
      <c r="L111" s="95">
        <v>0</v>
      </c>
      <c r="M111" s="32">
        <v>-4.6399999999999997</v>
      </c>
      <c r="N111" s="148">
        <f>IF(Table_BDD[[#This Row],[Position]]="","",ROW()-3)</f>
        <v>108</v>
      </c>
      <c r="O111" s="32">
        <f>SUM($L$4:M111)</f>
        <v>-95.55999999999996</v>
      </c>
      <c r="P111" s="32">
        <f>Table_BDD[[#This Row],[Equité avant trade]]+Table_BDD[[#This Row],[Profit]]+Table_BDD[[#This Row],[Echange]]</f>
        <v>904.44</v>
      </c>
      <c r="Q111" s="52">
        <f>INT(Table_BDD[[#This Row],[Horodatage cloture]])</f>
        <v>43874</v>
      </c>
      <c r="R111" s="34">
        <f>WEEKNUM(Table_BDD[[#This Row],[Horodatage cloture]],2)</f>
        <v>7</v>
      </c>
      <c r="S111" s="61">
        <f>WEEKDAY(Table_BDD[[#This Row],[Horodatage cloture]])</f>
        <v>5</v>
      </c>
      <c r="T111" s="63">
        <f>HOUR(Table_BDD[[#This Row],[Horodatage cloture]])</f>
        <v>16</v>
      </c>
      <c r="U111" s="68">
        <f>IF(Table_BDD[[#This Row],[Position]]="","",IF(Table_BDD[[#This Row],[Valeur début de journée unique]]&lt;&gt;0,1,0))</f>
        <v>0</v>
      </c>
      <c r="V111" s="68" t="str">
        <f>IF(Table_BDD[[#This Row],[Nb de séance de trading]]=1,COUNTIF(Table_BDD[Date],Table_BDD[[#This Row],[Date]]),"")</f>
        <v/>
      </c>
      <c r="W111" s="33">
        <f>IF(Table_BDD[[#This Row],[Position]]="","",IF(Table_BDD[[#This Row],[Type]]="buy",ROUND(Table_BDD[[#This Row],[Lvl Entrée]]-Table_BDD[[#This Row],[S / L]],1),ROUND(Table_BDD[[#This Row],[S / L]]-Table_BDD[[#This Row],[Lvl Entrée]],1)))</f>
        <v>10</v>
      </c>
      <c r="X111" s="33">
        <f>IF(Table_BDD[[#This Row],[Position]]="","",IF(Table_BDD[[#This Row],[T / P]]=0,200,IF(Table_BDD[[#This Row],[Type]]="buy",ROUND(Table_BDD[[#This Row],[T / P]]-Table_BDD[[#This Row],[Lvl Entrée]],1),ROUND(Table_BDD[[#This Row],[Lvl Entrée]]-Table_BDD[[#This Row],[T / P]],1))))</f>
        <v>200</v>
      </c>
      <c r="Y111" s="34">
        <f>IF(Table_BDD[[#This Row],[Position]]="","",IF(Table_BDD[[#This Row],[Ecart du SL]]&gt;0,ROUND(ABS(Table_BDD[[#This Row],[Ecart du TP]])/ABS(Table_BDD[[#This Row],[Ecart du SL]]),1),ROUND(ABS(Table_BDD[[#This Row],[Ecart du TP]])/10,1)))</f>
        <v>20</v>
      </c>
      <c r="Z111" s="34">
        <f>IF(Table_BDD[[#This Row],[Position]]="","",IF(Table_BDD[[#This Row],[Ecart du SL]]&lt;0,IF(AND(Table_BDD[[#This Row],[Profit]]&gt;0,Table_BDD[[#This Row],[Type]]="sell"),ROUND((Table_BDD[[#This Row],[Lvl Entrée]]-Table_BDD[[#This Row],[Lvl Sortie]])/(10),1),IF(AND(Table_BDD[[#This Row],[Profit]]&gt;0,Table_BDD[[#This Row],[Type]]="buy"),ROUND((Table_BDD[[#This Row],[Lvl Sortie]]-Table_BDD[[#This Row],[Lvl Entrée]])/(10),1),)),IF(AND(Table_BDD[[#This Row],[Profit]]&gt;0,Table_BDD[[#This Row],[Type]]="sell"),ROUND((Table_BDD[[#This Row],[Lvl Entrée]]-Table_BDD[[#This Row],[Lvl Sortie]])/(Table_BDD[[#This Row],[S / L]]-Table_BDD[[#This Row],[Lvl Entrée]]),1),IF(AND(Table_BDD[[#This Row],[Profit]]&gt;0,Table_BDD[[#This Row],[Type]]="buy"),ROUND((Table_BDD[[#This Row],[Lvl Sortie]]-Table_BDD[[#This Row],[Lvl Entrée]])/(Table_BDD[[#This Row],[Lvl Entrée]]-Table_BDD[[#This Row],[S / L]]),1),ROUND(Table_BDD[[#This Row],[Points]]/10,1)))))</f>
        <v>-1</v>
      </c>
      <c r="AA111" s="32">
        <f>IF(Table_BDD[[#This Row],[Position]]="",AA110,Table_BDD[[#This Row],[Equité après trade]]-Table_BDD[[#This Row],[Profit]]-Table_BDD[[#This Row],[Echange]])</f>
        <v>909.08</v>
      </c>
      <c r="AB111" s="149">
        <f>$B$1+SUM($L$4:M111)</f>
        <v>904.44</v>
      </c>
      <c r="AC111" s="150">
        <f>IF(Table_BDD[[#This Row],[Position]]="","",_xlfn.MINIFS(Table_BDD[Horodatage ouverture],Table_BDD[Date],Table_BDD[Date]))</f>
        <v>43874.650868055556</v>
      </c>
      <c r="AD111" s="149">
        <f>VLOOKUP(_xlfn.MINIFS(Table_BDD[Horodatage ouverture],Table_BDD[Date],Table_BDD[Date]),Table_BDD[[Horodatage ouverture]:[Heure derniere valeur]],AA$2)</f>
        <v>920.68000000000006</v>
      </c>
      <c r="AE111" s="149">
        <f>IF(VLOOKUP(_xlfn.MINIFS(Table_BDD[Horodatage ouverture],Table_BDD[Date],Table_BDD[Date]),Table_BDD[[Horodatage ouverture]:[Heure derniere valeur]],AA$2)=Table_BDD[[#This Row],[Equité avant trade]],VLOOKUP(_xlfn.MINIFS(Table_BDD[Horodatage ouverture],Table_BDD[Date],Table_BDD[Date]),Table_BDD[[Horodatage ouverture]:[Heure derniere valeur]],AA$2),0)</f>
        <v>0</v>
      </c>
      <c r="AF111" s="150">
        <f>IF(Table_BDD[[#This Row],[Position]]="","",_xlfn.MAXIFS(Table_BDD[Horodatage ouverture],Table_BDD[Date],Table_BDD[Date]))</f>
        <v>43874.763055555559</v>
      </c>
      <c r="AG111" s="32">
        <f>VLOOKUP(_xlfn.MAXIFS(Table_BDD[Horodatage cloture],Table_BDD[Date],Table_BDD[Date]),Table_BDD[[Horodatage ouverture]:[Heure derniere valeur]],AB$2)</f>
        <v>867.85</v>
      </c>
      <c r="AH111" s="32">
        <f>IF(VLOOKUP(_xlfn.MAXIFS(Table_BDD[Horodatage cloture],Table_BDD[Date],Table_BDD[Date]),Table_BDD[[Horodatage ouverture]:[Heure derniere valeur]],AB$2)=Table_BDD[[#This Row],[Equité après trade]],VLOOKUP(_xlfn.MAXIFS(Table_BDD[Horodatage cloture],Table_BDD[Date],Table_BDD[Date]),Table_BDD[[Horodatage ouverture]:[Heure derniere valeur]],AB$2),0)</f>
        <v>0</v>
      </c>
      <c r="AI111" s="32" t="e">
        <f>IF(Table_BDD[[#This Row],[Valeur fin de journée unique]]=0,#N/A,Table_BDD[[#This Row],[Valeur fin de journée unique]])</f>
        <v>#N/A</v>
      </c>
      <c r="AJ111" s="35">
        <f>IF(Table_BDD[[#This Row],[Position]]="","",(Table_BDD[[#This Row],[Equité après trade]]-Table_BDD[[#This Row],[Equité avant trade]])/Table_BDD[[#This Row],[Equité avant trade]])</f>
        <v>-5.1040612487349693E-3</v>
      </c>
      <c r="AK111" s="35" t="str">
        <f>IFERROR(((INDEX(Table_BDD[[Trade n°]:[Valeur fin de journée unique]],Table_BDD[[#This Row],[Nb de trade du jour]]+Table_BDD[[#This Row],[Trade n°]]-1,21))-Table_BDD[[#This Row],[Valeur début de journée unique]])/Table_BDD[[#This Row],[Valeur début de journée unique]],"")</f>
        <v/>
      </c>
      <c r="AL111" s="32">
        <f>IF(Table_BDD[[#This Row],[Position]]="","",MAX(Table_BDD[[#This Row],[Cumul équité]],AL110))</f>
        <v>1052.8399999999999</v>
      </c>
      <c r="AM111" s="32">
        <f>IF(Table_BDD[[#This Row],[Position]]="","",MIN(Table_BDD[[#This Row],[Cumul équité]],AL110))</f>
        <v>904.44</v>
      </c>
      <c r="AN111" s="97">
        <f>IF(Table_BDD[[#This Row],[Sommet Drawdown]]&gt;AL110,"",Table_BDD[[#This Row],[Creux Drawdown]]/Table_BDD[[#This Row],[Sommet Drawdown]]-1)</f>
        <v>-0.14095209148588572</v>
      </c>
      <c r="AO111" s="36">
        <f>IF(Table_BDD[[#This Row],[Position]]="","",IF(Table_BDD[[#This Row],[Type]]="buy",ROUND(Table_BDD[[#This Row],[Lvl Sortie]]-Table_BDD[[#This Row],[Lvl Entrée]],1),ROUND(Table_BDD[[#This Row],[Lvl Entrée]]-Table_BDD[[#This Row],[Lvl Sortie]],1)))</f>
        <v>-10</v>
      </c>
      <c r="AP111" s="36" t="str">
        <f>IF(Table_BDD[[#This Row],[Points]]&gt;0,Table_BDD[[#This Row],[Points]],"")</f>
        <v/>
      </c>
      <c r="AQ111" s="36">
        <f>IF(Table_BDD[[#This Row],[Points]]&lt;0,Table_BDD[[#This Row],[Points]],"")</f>
        <v>-10</v>
      </c>
      <c r="AR111" s="36">
        <f>SUM($AO$4:AO111)</f>
        <v>-208.29999999999998</v>
      </c>
      <c r="AS111" s="68">
        <f>IF(Table_BDD[[#This Row],[Position]]="","",IF(Table_BDD[[#This Row],[Conformité]]="Conforme",1,0))</f>
        <v>0</v>
      </c>
      <c r="AT111" s="68">
        <f>IF(Table_BDD[[#This Row],[Position]]="","",IF(Table_BDD[[#This Row],[Conformité]]="Non conforme",1,0))</f>
        <v>1</v>
      </c>
      <c r="AU111" s="37" t="s">
        <v>17</v>
      </c>
      <c r="AV111" s="37"/>
      <c r="AW111" s="37"/>
      <c r="AX111" s="37">
        <v>0</v>
      </c>
      <c r="AY111" s="37">
        <v>0</v>
      </c>
      <c r="AZ111" s="37">
        <v>0</v>
      </c>
      <c r="BA111" s="40" t="str">
        <f>IF(Table_BDD[[#This Row],[Position]]="","Sans objet",IF(AND(Table_BDD[[#This Row],[Type]]="sell",Table_BDD[[#This Row],[S / L]]&lt;Table_BDD[[#This Row],[Lvl Entrée]],Table_BDD[[#This Row],[Lvl Sortie]]&lt;=Table_BDD[[#This Row],[S / L]]+2,Table_BDD[[#This Row],[Lvl Sortie]]&lt;Table_BDD[[#This Row],[Lvl Entrée]]-19),"Oui",IF(AND(Table_BDD[[#This Row],[Type]]="buy",Table_BDD[[#This Row],[S / L]]&gt;Table_BDD[[#This Row],[Lvl Entrée]],Table_BDD[[#This Row],[Lvl Sortie]]&gt;=Table_BDD[[#This Row],[S / L]]-2,Table_BDD[[#This Row],[S / L]]&gt;Table_BDD[[#This Row],[Lvl Entrée]]+19),"Oui","Non")))</f>
        <v>Non</v>
      </c>
      <c r="BB111" s="40" t="str">
        <f>IF(Table_BDD[[#This Row],[Position]]="","Sans objet",IF(AND(Table_BDD[[#This Row],[Type]]="sell",Table_BDD[[#This Row],[S / L]]&lt;Table_BDD[[#This Row],[Lvl Entrée]],Table_BDD[[#This Row],[Points]]&gt;=-1),"Oui",IF(AND(Table_BDD[[#This Row],[Type]]="sell",Table_BDD[[#This Row],[S / L]]&gt;Table_BDD[[#This Row],[Lvl Entrée]]),"Non",IF(AND(Table_BDD[[#This Row],[Type]]="buy",Table_BDD[[#This Row],[S / L]]&lt;Table_BDD[[#This Row],[Lvl Entrée]]),"Non",IF(AND(Table_BDD[[#This Row],[Type]]="buy",Table_BDD[[#This Row],[S / L]]&gt;Table_BDD[[#This Row],[Lvl Entrée]],Table_BDD[[#This Row],[Points]]&gt;=-1),"Oui")))))</f>
        <v>Non</v>
      </c>
      <c r="BC111" s="40" t="str">
        <f>IF(Table_BDD[[#This Row],[Position]]="","Sans objet",IF(Table_BDD[[#This Row],[T / P]]="","Non",IF(AND(Table_BDD[[#This Row],[Type]]="sell",Table_BDD[[#This Row],[Lvl Sortie]]&lt;=Table_BDD[[#This Row],[T / P]]),"Oui",IF(AND(Table_BDD[[#This Row],[Type]]="buy",Table_BDD[[#This Row],[Lvl Sortie]]&gt;=Table_BDD[[#This Row],[T / P]]),"Oui","Non"))))</f>
        <v>Non</v>
      </c>
      <c r="BD111" s="91">
        <f t="array" ref="BD111">IFERROR(INDEX(downloadFile[#All],MATCH(Table_BDD[[#This Row],[Date]],downloadFile[[#All],[Column1]],0),2),BD110)</f>
        <v>1.0867</v>
      </c>
      <c r="BE111" s="89">
        <f>IF(Table_BDD[[#This Row],[Position]]="","",IF(Table_BDD[[#This Row],[Symbole]]="UsaInd",(Table_BDD[[#This Row],[Volume]]*Table_BDD[[#This Row],[Lvl Entrée]])/(Table_BDD[[#This Row],[Equité avant trade]]*Table_BDD[[#This Row],[EUR/USD]]),IF(Table_BDD[[#This Row],[Symbole]]="Ger30",(Table_BDD[[#This Row],[Volume]]*Table_BDD[[#This Row],[Lvl Entrée]])/Table_BDD[[#This Row],[Equité avant trade]],)))</f>
        <v>14.88462510487275</v>
      </c>
      <c r="BF111" s="38">
        <f>IF(Table_BDD[[#This Row],[Position]]="","",IF(Table_BDD[[#This Row],[Conformité]]="Non conforme",0,(MROUND(3*((Table_BDD[[#This Row],[Conviction]]+Table_BDD[[#This Row],[Timing]]+Table_BDD[[#This Row],[Sortie]])+1)-2,1))))</f>
        <v>0</v>
      </c>
      <c r="BG111" s="38" t="str">
        <f>IF(Table_BDD[[#This Row],[Position]]="","",IF(Table_BDD[[#This Row],[Points]]&lt;-5,"--",IF(AND(Table_BDD[[#This Row],[Points]]&gt;=-5,Table_BDD[[#This Row],[Points]]&lt;-1.5),"-",IF(AND(Table_BDD[[#This Row],[Points]]&gt;=-1.5,Table_BDD[[#This Row],[Points]]&lt;1.5),"0",IF(AND(Table_BDD[[#This Row],[Points]]&gt;=1.5,Table_BDD[[#This Row],[Points]]&lt;=70),"+",IF(Table_BDD[[#This Row],[Points]]&gt;70,"++"))))))</f>
        <v>--</v>
      </c>
      <c r="BH111" s="37" t="str">
        <f>IF(Table_BDD[[#This Row],[Position]]="","",IF(Table_BDD[[#This Row],[Points]]&gt;0,"Gagnant",IF(Table_BDD[[#This Row],[Points]]=0,"Flat","Perdant")))</f>
        <v>Perdant</v>
      </c>
      <c r="BI111" s="40">
        <f>IF(Table_BDD[[#This Row],[Position]]="","",IF(Table_BDD[[#This Row],[Résultat]]="Gagnant",1,0))</f>
        <v>0</v>
      </c>
      <c r="BJ111" s="40">
        <f>IF(Table_BDD[[#This Row],[Position]]="","",IF(Table_BDD[[#This Row],[Résultat]]="Perdant",1,0))</f>
        <v>1</v>
      </c>
      <c r="BK111" s="40"/>
      <c r="BL111" s="145" t="str">
        <f>IF(Table_BDD[[#This Row],[T / P]]="","",Table_BDD[[#This Row],[T / P]])</f>
        <v/>
      </c>
      <c r="BM111" s="147"/>
      <c r="BN111" s="147"/>
      <c r="BO111" s="147"/>
      <c r="BP111" s="147"/>
      <c r="BQ111" s="127"/>
    </row>
    <row r="112" spans="1:69" x14ac:dyDescent="0.2">
      <c r="A112" s="93">
        <v>43874.701782407406</v>
      </c>
      <c r="B112" s="94">
        <v>259916826</v>
      </c>
      <c r="C112" s="37" t="s">
        <v>8</v>
      </c>
      <c r="D112" s="37" t="s">
        <v>10</v>
      </c>
      <c r="E112" s="37">
        <v>0.5</v>
      </c>
      <c r="F112" s="95">
        <v>29417.83</v>
      </c>
      <c r="G112" s="95">
        <v>29427.83</v>
      </c>
      <c r="H112" s="95"/>
      <c r="I112" s="93">
        <v>43874.702141203707</v>
      </c>
      <c r="J112" s="95">
        <v>29427.87</v>
      </c>
      <c r="K112" s="95">
        <v>0</v>
      </c>
      <c r="L112" s="95">
        <v>0</v>
      </c>
      <c r="M112" s="32">
        <v>-4.63</v>
      </c>
      <c r="N112" s="148">
        <f>IF(Table_BDD[[#This Row],[Position]]="","",ROW()-3)</f>
        <v>109</v>
      </c>
      <c r="O112" s="32">
        <f>SUM($L$4:M112)</f>
        <v>-100.18999999999996</v>
      </c>
      <c r="P112" s="32">
        <f>Table_BDD[[#This Row],[Equité avant trade]]+Table_BDD[[#This Row],[Profit]]+Table_BDD[[#This Row],[Echange]]</f>
        <v>899.81000000000006</v>
      </c>
      <c r="Q112" s="52">
        <f>INT(Table_BDD[[#This Row],[Horodatage cloture]])</f>
        <v>43874</v>
      </c>
      <c r="R112" s="34">
        <f>WEEKNUM(Table_BDD[[#This Row],[Horodatage cloture]],2)</f>
        <v>7</v>
      </c>
      <c r="S112" s="61">
        <f>WEEKDAY(Table_BDD[[#This Row],[Horodatage cloture]])</f>
        <v>5</v>
      </c>
      <c r="T112" s="63">
        <f>HOUR(Table_BDD[[#This Row],[Horodatage cloture]])</f>
        <v>16</v>
      </c>
      <c r="U112" s="68">
        <f>IF(Table_BDD[[#This Row],[Position]]="","",IF(Table_BDD[[#This Row],[Valeur début de journée unique]]&lt;&gt;0,1,0))</f>
        <v>0</v>
      </c>
      <c r="V112" s="68" t="str">
        <f>IF(Table_BDD[[#This Row],[Nb de séance de trading]]=1,COUNTIF(Table_BDD[Date],Table_BDD[[#This Row],[Date]]),"")</f>
        <v/>
      </c>
      <c r="W112" s="33">
        <f>IF(Table_BDD[[#This Row],[Position]]="","",IF(Table_BDD[[#This Row],[Type]]="buy",ROUND(Table_BDD[[#This Row],[Lvl Entrée]]-Table_BDD[[#This Row],[S / L]],1),ROUND(Table_BDD[[#This Row],[S / L]]-Table_BDD[[#This Row],[Lvl Entrée]],1)))</f>
        <v>10</v>
      </c>
      <c r="X112" s="33">
        <f>IF(Table_BDD[[#This Row],[Position]]="","",IF(Table_BDD[[#This Row],[T / P]]=0,200,IF(Table_BDD[[#This Row],[Type]]="buy",ROUND(Table_BDD[[#This Row],[T / P]]-Table_BDD[[#This Row],[Lvl Entrée]],1),ROUND(Table_BDD[[#This Row],[Lvl Entrée]]-Table_BDD[[#This Row],[T / P]],1))))</f>
        <v>200</v>
      </c>
      <c r="Y112" s="34">
        <f>IF(Table_BDD[[#This Row],[Position]]="","",IF(Table_BDD[[#This Row],[Ecart du SL]]&gt;0,ROUND(ABS(Table_BDD[[#This Row],[Ecart du TP]])/ABS(Table_BDD[[#This Row],[Ecart du SL]]),1),ROUND(ABS(Table_BDD[[#This Row],[Ecart du TP]])/10,1)))</f>
        <v>20</v>
      </c>
      <c r="Z112" s="34">
        <f>IF(Table_BDD[[#This Row],[Position]]="","",IF(Table_BDD[[#This Row],[Ecart du SL]]&lt;0,IF(AND(Table_BDD[[#This Row],[Profit]]&gt;0,Table_BDD[[#This Row],[Type]]="sell"),ROUND((Table_BDD[[#This Row],[Lvl Entrée]]-Table_BDD[[#This Row],[Lvl Sortie]])/(10),1),IF(AND(Table_BDD[[#This Row],[Profit]]&gt;0,Table_BDD[[#This Row],[Type]]="buy"),ROUND((Table_BDD[[#This Row],[Lvl Sortie]]-Table_BDD[[#This Row],[Lvl Entrée]])/(10),1),)),IF(AND(Table_BDD[[#This Row],[Profit]]&gt;0,Table_BDD[[#This Row],[Type]]="sell"),ROUND((Table_BDD[[#This Row],[Lvl Entrée]]-Table_BDD[[#This Row],[Lvl Sortie]])/(Table_BDD[[#This Row],[S / L]]-Table_BDD[[#This Row],[Lvl Entrée]]),1),IF(AND(Table_BDD[[#This Row],[Profit]]&gt;0,Table_BDD[[#This Row],[Type]]="buy"),ROUND((Table_BDD[[#This Row],[Lvl Sortie]]-Table_BDD[[#This Row],[Lvl Entrée]])/(Table_BDD[[#This Row],[Lvl Entrée]]-Table_BDD[[#This Row],[S / L]]),1),ROUND(Table_BDD[[#This Row],[Points]]/10,1)))))</f>
        <v>-1</v>
      </c>
      <c r="AA112" s="32">
        <f>IF(Table_BDD[[#This Row],[Position]]="",AA111,Table_BDD[[#This Row],[Equité après trade]]-Table_BDD[[#This Row],[Profit]]-Table_BDD[[#This Row],[Echange]])</f>
        <v>904.44</v>
      </c>
      <c r="AB112" s="149">
        <f>$B$1+SUM($L$4:M112)</f>
        <v>899.81000000000006</v>
      </c>
      <c r="AC112" s="150">
        <f>IF(Table_BDD[[#This Row],[Position]]="","",_xlfn.MINIFS(Table_BDD[Horodatage ouverture],Table_BDD[Date],Table_BDD[Date]))</f>
        <v>43874.650868055556</v>
      </c>
      <c r="AD112" s="149">
        <f>VLOOKUP(_xlfn.MINIFS(Table_BDD[Horodatage ouverture],Table_BDD[Date],Table_BDD[Date]),Table_BDD[[Horodatage ouverture]:[Heure derniere valeur]],AA$2)</f>
        <v>920.68000000000006</v>
      </c>
      <c r="AE112" s="149">
        <f>IF(VLOOKUP(_xlfn.MINIFS(Table_BDD[Horodatage ouverture],Table_BDD[Date],Table_BDD[Date]),Table_BDD[[Horodatage ouverture]:[Heure derniere valeur]],AA$2)=Table_BDD[[#This Row],[Equité avant trade]],VLOOKUP(_xlfn.MINIFS(Table_BDD[Horodatage ouverture],Table_BDD[Date],Table_BDD[Date]),Table_BDD[[Horodatage ouverture]:[Heure derniere valeur]],AA$2),0)</f>
        <v>0</v>
      </c>
      <c r="AF112" s="150">
        <f>IF(Table_BDD[[#This Row],[Position]]="","",_xlfn.MAXIFS(Table_BDD[Horodatage ouverture],Table_BDD[Date],Table_BDD[Date]))</f>
        <v>43874.763055555559</v>
      </c>
      <c r="AG112" s="32">
        <f>VLOOKUP(_xlfn.MAXIFS(Table_BDD[Horodatage cloture],Table_BDD[Date],Table_BDD[Date]),Table_BDD[[Horodatage ouverture]:[Heure derniere valeur]],AB$2)</f>
        <v>867.85</v>
      </c>
      <c r="AH112" s="32">
        <f>IF(VLOOKUP(_xlfn.MAXIFS(Table_BDD[Horodatage cloture],Table_BDD[Date],Table_BDD[Date]),Table_BDD[[Horodatage ouverture]:[Heure derniere valeur]],AB$2)=Table_BDD[[#This Row],[Equité après trade]],VLOOKUP(_xlfn.MAXIFS(Table_BDD[Horodatage cloture],Table_BDD[Date],Table_BDD[Date]),Table_BDD[[Horodatage ouverture]:[Heure derniere valeur]],AB$2),0)</f>
        <v>0</v>
      </c>
      <c r="AI112" s="32" t="e">
        <f>IF(Table_BDD[[#This Row],[Valeur fin de journée unique]]=0,#N/A,Table_BDD[[#This Row],[Valeur fin de journée unique]])</f>
        <v>#N/A</v>
      </c>
      <c r="AJ112" s="35">
        <f>IF(Table_BDD[[#This Row],[Position]]="","",(Table_BDD[[#This Row],[Equité après trade]]-Table_BDD[[#This Row],[Equité avant trade]])/Table_BDD[[#This Row],[Equité avant trade]])</f>
        <v>-5.1191897748883233E-3</v>
      </c>
      <c r="AK112" s="35" t="str">
        <f>IFERROR(((INDEX(Table_BDD[[Trade n°]:[Valeur fin de journée unique]],Table_BDD[[#This Row],[Nb de trade du jour]]+Table_BDD[[#This Row],[Trade n°]]-1,21))-Table_BDD[[#This Row],[Valeur début de journée unique]])/Table_BDD[[#This Row],[Valeur début de journée unique]],"")</f>
        <v/>
      </c>
      <c r="AL112" s="32">
        <f>IF(Table_BDD[[#This Row],[Position]]="","",MAX(Table_BDD[[#This Row],[Cumul équité]],AL111))</f>
        <v>1052.8399999999999</v>
      </c>
      <c r="AM112" s="32">
        <f>IF(Table_BDD[[#This Row],[Position]]="","",MIN(Table_BDD[[#This Row],[Cumul équité]],AL111))</f>
        <v>899.81000000000006</v>
      </c>
      <c r="AN112" s="97">
        <f>IF(Table_BDD[[#This Row],[Sommet Drawdown]]&gt;AL111,"",Table_BDD[[#This Row],[Creux Drawdown]]/Table_BDD[[#This Row],[Sommet Drawdown]]-1)</f>
        <v>-0.14534972075529029</v>
      </c>
      <c r="AO112" s="36">
        <f>IF(Table_BDD[[#This Row],[Position]]="","",IF(Table_BDD[[#This Row],[Type]]="buy",ROUND(Table_BDD[[#This Row],[Lvl Sortie]]-Table_BDD[[#This Row],[Lvl Entrée]],1),ROUND(Table_BDD[[#This Row],[Lvl Entrée]]-Table_BDD[[#This Row],[Lvl Sortie]],1)))</f>
        <v>-10</v>
      </c>
      <c r="AP112" s="36" t="str">
        <f>IF(Table_BDD[[#This Row],[Points]]&gt;0,Table_BDD[[#This Row],[Points]],"")</f>
        <v/>
      </c>
      <c r="AQ112" s="36">
        <f>IF(Table_BDD[[#This Row],[Points]]&lt;0,Table_BDD[[#This Row],[Points]],"")</f>
        <v>-10</v>
      </c>
      <c r="AR112" s="36">
        <f>SUM($AO$4:AO112)</f>
        <v>-218.29999999999998</v>
      </c>
      <c r="AS112" s="68">
        <f>IF(Table_BDD[[#This Row],[Position]]="","",IF(Table_BDD[[#This Row],[Conformité]]="Conforme",1,0))</f>
        <v>0</v>
      </c>
      <c r="AT112" s="68">
        <f>IF(Table_BDD[[#This Row],[Position]]="","",IF(Table_BDD[[#This Row],[Conformité]]="Non conforme",1,0))</f>
        <v>1</v>
      </c>
      <c r="AU112" s="37" t="s">
        <v>17</v>
      </c>
      <c r="AV112" s="37"/>
      <c r="AW112" s="37"/>
      <c r="AX112" s="37">
        <v>0</v>
      </c>
      <c r="AY112" s="37">
        <v>0</v>
      </c>
      <c r="AZ112" s="37">
        <v>0</v>
      </c>
      <c r="BA112" s="40" t="str">
        <f>IF(Table_BDD[[#This Row],[Position]]="","Sans objet",IF(AND(Table_BDD[[#This Row],[Type]]="sell",Table_BDD[[#This Row],[S / L]]&lt;Table_BDD[[#This Row],[Lvl Entrée]],Table_BDD[[#This Row],[Lvl Sortie]]&lt;=Table_BDD[[#This Row],[S / L]]+2,Table_BDD[[#This Row],[Lvl Sortie]]&lt;Table_BDD[[#This Row],[Lvl Entrée]]-19),"Oui",IF(AND(Table_BDD[[#This Row],[Type]]="buy",Table_BDD[[#This Row],[S / L]]&gt;Table_BDD[[#This Row],[Lvl Entrée]],Table_BDD[[#This Row],[Lvl Sortie]]&gt;=Table_BDD[[#This Row],[S / L]]-2,Table_BDD[[#This Row],[S / L]]&gt;Table_BDD[[#This Row],[Lvl Entrée]]+19),"Oui","Non")))</f>
        <v>Non</v>
      </c>
      <c r="BB112" s="40" t="str">
        <f>IF(Table_BDD[[#This Row],[Position]]="","Sans objet",IF(AND(Table_BDD[[#This Row],[Type]]="sell",Table_BDD[[#This Row],[S / L]]&lt;Table_BDD[[#This Row],[Lvl Entrée]],Table_BDD[[#This Row],[Points]]&gt;=-1),"Oui",IF(AND(Table_BDD[[#This Row],[Type]]="sell",Table_BDD[[#This Row],[S / L]]&gt;Table_BDD[[#This Row],[Lvl Entrée]]),"Non",IF(AND(Table_BDD[[#This Row],[Type]]="buy",Table_BDD[[#This Row],[S / L]]&lt;Table_BDD[[#This Row],[Lvl Entrée]]),"Non",IF(AND(Table_BDD[[#This Row],[Type]]="buy",Table_BDD[[#This Row],[S / L]]&gt;Table_BDD[[#This Row],[Lvl Entrée]],Table_BDD[[#This Row],[Points]]&gt;=-1),"Oui")))))</f>
        <v>Non</v>
      </c>
      <c r="BC112" s="40" t="str">
        <f>IF(Table_BDD[[#This Row],[Position]]="","Sans objet",IF(Table_BDD[[#This Row],[T / P]]="","Non",IF(AND(Table_BDD[[#This Row],[Type]]="sell",Table_BDD[[#This Row],[Lvl Sortie]]&lt;=Table_BDD[[#This Row],[T / P]]),"Oui",IF(AND(Table_BDD[[#This Row],[Type]]="buy",Table_BDD[[#This Row],[Lvl Sortie]]&gt;=Table_BDD[[#This Row],[T / P]]),"Oui","Non"))))</f>
        <v>Non</v>
      </c>
      <c r="BD112" s="91">
        <f t="array" ref="BD112">IFERROR(INDEX(downloadFile[#All],MATCH(Table_BDD[[#This Row],[Date]],downloadFile[[#All],[Column1]],0),2),BD111)</f>
        <v>1.0867</v>
      </c>
      <c r="BE112" s="89">
        <f>IF(Table_BDD[[#This Row],[Position]]="","",IF(Table_BDD[[#This Row],[Symbole]]="UsaInd",(Table_BDD[[#This Row],[Volume]]*Table_BDD[[#This Row],[Lvl Entrée]])/(Table_BDD[[#This Row],[Equité avant trade]]*Table_BDD[[#This Row],[EUR/USD]]),IF(Table_BDD[[#This Row],[Symbole]]="Ger30",(Table_BDD[[#This Row],[Volume]]*Table_BDD[[#This Row],[Lvl Entrée]])/Table_BDD[[#This Row],[Equité avant trade]],)))</f>
        <v>14.965499263071321</v>
      </c>
      <c r="BF112" s="38">
        <f>IF(Table_BDD[[#This Row],[Position]]="","",IF(Table_BDD[[#This Row],[Conformité]]="Non conforme",0,(MROUND(3*((Table_BDD[[#This Row],[Conviction]]+Table_BDD[[#This Row],[Timing]]+Table_BDD[[#This Row],[Sortie]])+1)-2,1))))</f>
        <v>0</v>
      </c>
      <c r="BG112" s="38" t="str">
        <f>IF(Table_BDD[[#This Row],[Position]]="","",IF(Table_BDD[[#This Row],[Points]]&lt;-5,"--",IF(AND(Table_BDD[[#This Row],[Points]]&gt;=-5,Table_BDD[[#This Row],[Points]]&lt;-1.5),"-",IF(AND(Table_BDD[[#This Row],[Points]]&gt;=-1.5,Table_BDD[[#This Row],[Points]]&lt;1.5),"0",IF(AND(Table_BDD[[#This Row],[Points]]&gt;=1.5,Table_BDD[[#This Row],[Points]]&lt;=70),"+",IF(Table_BDD[[#This Row],[Points]]&gt;70,"++"))))))</f>
        <v>--</v>
      </c>
      <c r="BH112" s="37" t="str">
        <f>IF(Table_BDD[[#This Row],[Position]]="","",IF(Table_BDD[[#This Row],[Points]]&gt;0,"Gagnant",IF(Table_BDD[[#This Row],[Points]]=0,"Flat","Perdant")))</f>
        <v>Perdant</v>
      </c>
      <c r="BI112" s="40">
        <f>IF(Table_BDD[[#This Row],[Position]]="","",IF(Table_BDD[[#This Row],[Résultat]]="Gagnant",1,0))</f>
        <v>0</v>
      </c>
      <c r="BJ112" s="40">
        <f>IF(Table_BDD[[#This Row],[Position]]="","",IF(Table_BDD[[#This Row],[Résultat]]="Perdant",1,0))</f>
        <v>1</v>
      </c>
      <c r="BK112" s="40"/>
      <c r="BL112" s="145" t="str">
        <f>IF(Table_BDD[[#This Row],[T / P]]="","",Table_BDD[[#This Row],[T / P]])</f>
        <v/>
      </c>
      <c r="BM112" s="147"/>
      <c r="BN112" s="147"/>
      <c r="BO112" s="147"/>
      <c r="BP112" s="147"/>
      <c r="BQ112" s="127"/>
    </row>
    <row r="113" spans="1:69" x14ac:dyDescent="0.2">
      <c r="A113" s="93">
        <v>43874.702731481484</v>
      </c>
      <c r="B113" s="94">
        <v>259916960</v>
      </c>
      <c r="C113" s="37" t="s">
        <v>8</v>
      </c>
      <c r="D113" s="37" t="s">
        <v>10</v>
      </c>
      <c r="E113" s="37">
        <v>0.5</v>
      </c>
      <c r="F113" s="95">
        <v>29431.79</v>
      </c>
      <c r="G113" s="95">
        <v>29441.79</v>
      </c>
      <c r="H113" s="95">
        <v>29231.79</v>
      </c>
      <c r="I113" s="93">
        <v>43874.703449074077</v>
      </c>
      <c r="J113" s="95">
        <v>29441.95</v>
      </c>
      <c r="K113" s="95">
        <v>0</v>
      </c>
      <c r="L113" s="95">
        <v>0</v>
      </c>
      <c r="M113" s="32">
        <v>-4.68</v>
      </c>
      <c r="N113" s="148">
        <f>IF(Table_BDD[[#This Row],[Position]]="","",ROW()-3)</f>
        <v>110</v>
      </c>
      <c r="O113" s="32">
        <f>SUM($L$4:M113)</f>
        <v>-104.86999999999995</v>
      </c>
      <c r="P113" s="32">
        <f>Table_BDD[[#This Row],[Equité avant trade]]+Table_BDD[[#This Row],[Profit]]+Table_BDD[[#This Row],[Echange]]</f>
        <v>895.13000000000011</v>
      </c>
      <c r="Q113" s="52">
        <f>INT(Table_BDD[[#This Row],[Horodatage cloture]])</f>
        <v>43874</v>
      </c>
      <c r="R113" s="34">
        <f>WEEKNUM(Table_BDD[[#This Row],[Horodatage cloture]],2)</f>
        <v>7</v>
      </c>
      <c r="S113" s="61">
        <f>WEEKDAY(Table_BDD[[#This Row],[Horodatage cloture]])</f>
        <v>5</v>
      </c>
      <c r="T113" s="63">
        <f>HOUR(Table_BDD[[#This Row],[Horodatage cloture]])</f>
        <v>16</v>
      </c>
      <c r="U113" s="68">
        <f>IF(Table_BDD[[#This Row],[Position]]="","",IF(Table_BDD[[#This Row],[Valeur début de journée unique]]&lt;&gt;0,1,0))</f>
        <v>0</v>
      </c>
      <c r="V113" s="68" t="str">
        <f>IF(Table_BDD[[#This Row],[Nb de séance de trading]]=1,COUNTIF(Table_BDD[Date],Table_BDD[[#This Row],[Date]]),"")</f>
        <v/>
      </c>
      <c r="W113" s="33">
        <f>IF(Table_BDD[[#This Row],[Position]]="","",IF(Table_BDD[[#This Row],[Type]]="buy",ROUND(Table_BDD[[#This Row],[Lvl Entrée]]-Table_BDD[[#This Row],[S / L]],1),ROUND(Table_BDD[[#This Row],[S / L]]-Table_BDD[[#This Row],[Lvl Entrée]],1)))</f>
        <v>10</v>
      </c>
      <c r="X113" s="33">
        <f>IF(Table_BDD[[#This Row],[Position]]="","",IF(Table_BDD[[#This Row],[T / P]]=0,200,IF(Table_BDD[[#This Row],[Type]]="buy",ROUND(Table_BDD[[#This Row],[T / P]]-Table_BDD[[#This Row],[Lvl Entrée]],1),ROUND(Table_BDD[[#This Row],[Lvl Entrée]]-Table_BDD[[#This Row],[T / P]],1))))</f>
        <v>200</v>
      </c>
      <c r="Y113" s="34">
        <f>IF(Table_BDD[[#This Row],[Position]]="","",IF(Table_BDD[[#This Row],[Ecart du SL]]&gt;0,ROUND(ABS(Table_BDD[[#This Row],[Ecart du TP]])/ABS(Table_BDD[[#This Row],[Ecart du SL]]),1),ROUND(ABS(Table_BDD[[#This Row],[Ecart du TP]])/10,1)))</f>
        <v>20</v>
      </c>
      <c r="Z113" s="34">
        <f>IF(Table_BDD[[#This Row],[Position]]="","",IF(Table_BDD[[#This Row],[Ecart du SL]]&lt;0,IF(AND(Table_BDD[[#This Row],[Profit]]&gt;0,Table_BDD[[#This Row],[Type]]="sell"),ROUND((Table_BDD[[#This Row],[Lvl Entrée]]-Table_BDD[[#This Row],[Lvl Sortie]])/(10),1),IF(AND(Table_BDD[[#This Row],[Profit]]&gt;0,Table_BDD[[#This Row],[Type]]="buy"),ROUND((Table_BDD[[#This Row],[Lvl Sortie]]-Table_BDD[[#This Row],[Lvl Entrée]])/(10),1),)),IF(AND(Table_BDD[[#This Row],[Profit]]&gt;0,Table_BDD[[#This Row],[Type]]="sell"),ROUND((Table_BDD[[#This Row],[Lvl Entrée]]-Table_BDD[[#This Row],[Lvl Sortie]])/(Table_BDD[[#This Row],[S / L]]-Table_BDD[[#This Row],[Lvl Entrée]]),1),IF(AND(Table_BDD[[#This Row],[Profit]]&gt;0,Table_BDD[[#This Row],[Type]]="buy"),ROUND((Table_BDD[[#This Row],[Lvl Sortie]]-Table_BDD[[#This Row],[Lvl Entrée]])/(Table_BDD[[#This Row],[Lvl Entrée]]-Table_BDD[[#This Row],[S / L]]),1),ROUND(Table_BDD[[#This Row],[Points]]/10,1)))))</f>
        <v>-1</v>
      </c>
      <c r="AA113" s="32">
        <f>IF(Table_BDD[[#This Row],[Position]]="",AA112,Table_BDD[[#This Row],[Equité après trade]]-Table_BDD[[#This Row],[Profit]]-Table_BDD[[#This Row],[Echange]])</f>
        <v>899.81000000000006</v>
      </c>
      <c r="AB113" s="149">
        <f>$B$1+SUM($L$4:M113)</f>
        <v>895.13000000000011</v>
      </c>
      <c r="AC113" s="150">
        <f>IF(Table_BDD[[#This Row],[Position]]="","",_xlfn.MINIFS(Table_BDD[Horodatage ouverture],Table_BDD[Date],Table_BDD[Date]))</f>
        <v>43874.650868055556</v>
      </c>
      <c r="AD113" s="149">
        <f>VLOOKUP(_xlfn.MINIFS(Table_BDD[Horodatage ouverture],Table_BDD[Date],Table_BDD[Date]),Table_BDD[[Horodatage ouverture]:[Heure derniere valeur]],AA$2)</f>
        <v>920.68000000000006</v>
      </c>
      <c r="AE113" s="149">
        <f>IF(VLOOKUP(_xlfn.MINIFS(Table_BDD[Horodatage ouverture],Table_BDD[Date],Table_BDD[Date]),Table_BDD[[Horodatage ouverture]:[Heure derniere valeur]],AA$2)=Table_BDD[[#This Row],[Equité avant trade]],VLOOKUP(_xlfn.MINIFS(Table_BDD[Horodatage ouverture],Table_BDD[Date],Table_BDD[Date]),Table_BDD[[Horodatage ouverture]:[Heure derniere valeur]],AA$2),0)</f>
        <v>0</v>
      </c>
      <c r="AF113" s="150">
        <f>IF(Table_BDD[[#This Row],[Position]]="","",_xlfn.MAXIFS(Table_BDD[Horodatage ouverture],Table_BDD[Date],Table_BDD[Date]))</f>
        <v>43874.763055555559</v>
      </c>
      <c r="AG113" s="32">
        <f>VLOOKUP(_xlfn.MAXIFS(Table_BDD[Horodatage cloture],Table_BDD[Date],Table_BDD[Date]),Table_BDD[[Horodatage ouverture]:[Heure derniere valeur]],AB$2)</f>
        <v>867.85</v>
      </c>
      <c r="AH113" s="32">
        <f>IF(VLOOKUP(_xlfn.MAXIFS(Table_BDD[Horodatage cloture],Table_BDD[Date],Table_BDD[Date]),Table_BDD[[Horodatage ouverture]:[Heure derniere valeur]],AB$2)=Table_BDD[[#This Row],[Equité après trade]],VLOOKUP(_xlfn.MAXIFS(Table_BDD[Horodatage cloture],Table_BDD[Date],Table_BDD[Date]),Table_BDD[[Horodatage ouverture]:[Heure derniere valeur]],AB$2),0)</f>
        <v>0</v>
      </c>
      <c r="AI113" s="32" t="e">
        <f>IF(Table_BDD[[#This Row],[Valeur fin de journée unique]]=0,#N/A,Table_BDD[[#This Row],[Valeur fin de journée unique]])</f>
        <v>#N/A</v>
      </c>
      <c r="AJ113" s="35">
        <f>IF(Table_BDD[[#This Row],[Position]]="","",(Table_BDD[[#This Row],[Equité après trade]]-Table_BDD[[#This Row],[Equité avant trade]])/Table_BDD[[#This Row],[Equité avant trade]])</f>
        <v>-5.2010980095797445E-3</v>
      </c>
      <c r="AK113" s="35" t="str">
        <f>IFERROR(((INDEX(Table_BDD[[Trade n°]:[Valeur fin de journée unique]],Table_BDD[[#This Row],[Nb de trade du jour]]+Table_BDD[[#This Row],[Trade n°]]-1,21))-Table_BDD[[#This Row],[Valeur début de journée unique]])/Table_BDD[[#This Row],[Valeur début de journée unique]],"")</f>
        <v/>
      </c>
      <c r="AL113" s="32">
        <f>IF(Table_BDD[[#This Row],[Position]]="","",MAX(Table_BDD[[#This Row],[Cumul équité]],AL112))</f>
        <v>1052.8399999999999</v>
      </c>
      <c r="AM113" s="32">
        <f>IF(Table_BDD[[#This Row],[Position]]="","",MIN(Table_BDD[[#This Row],[Cumul équité]],AL112))</f>
        <v>895.13000000000011</v>
      </c>
      <c r="AN113" s="97">
        <f>IF(Table_BDD[[#This Row],[Sommet Drawdown]]&gt;AL112,"",Table_BDD[[#This Row],[Creux Drawdown]]/Table_BDD[[#This Row],[Sommet Drawdown]]-1)</f>
        <v>-0.14979484062155679</v>
      </c>
      <c r="AO113" s="36">
        <f>IF(Table_BDD[[#This Row],[Position]]="","",IF(Table_BDD[[#This Row],[Type]]="buy",ROUND(Table_BDD[[#This Row],[Lvl Sortie]]-Table_BDD[[#This Row],[Lvl Entrée]],1),ROUND(Table_BDD[[#This Row],[Lvl Entrée]]-Table_BDD[[#This Row],[Lvl Sortie]],1)))</f>
        <v>-10.199999999999999</v>
      </c>
      <c r="AP113" s="36" t="str">
        <f>IF(Table_BDD[[#This Row],[Points]]&gt;0,Table_BDD[[#This Row],[Points]],"")</f>
        <v/>
      </c>
      <c r="AQ113" s="36">
        <f>IF(Table_BDD[[#This Row],[Points]]&lt;0,Table_BDD[[#This Row],[Points]],"")</f>
        <v>-10.199999999999999</v>
      </c>
      <c r="AR113" s="36">
        <f>SUM($AO$4:AO113)</f>
        <v>-228.49999999999997</v>
      </c>
      <c r="AS113" s="68">
        <f>IF(Table_BDD[[#This Row],[Position]]="","",IF(Table_BDD[[#This Row],[Conformité]]="Conforme",1,0))</f>
        <v>0</v>
      </c>
      <c r="AT113" s="68">
        <f>IF(Table_BDD[[#This Row],[Position]]="","",IF(Table_BDD[[#This Row],[Conformité]]="Non conforme",1,0))</f>
        <v>1</v>
      </c>
      <c r="AU113" s="37" t="s">
        <v>17</v>
      </c>
      <c r="AV113" s="37"/>
      <c r="AW113" s="37"/>
      <c r="AX113" s="37">
        <v>0</v>
      </c>
      <c r="AY113" s="37">
        <v>0</v>
      </c>
      <c r="AZ113" s="37">
        <v>0</v>
      </c>
      <c r="BA113" s="40" t="str">
        <f>IF(Table_BDD[[#This Row],[Position]]="","Sans objet",IF(AND(Table_BDD[[#This Row],[Type]]="sell",Table_BDD[[#This Row],[S / L]]&lt;Table_BDD[[#This Row],[Lvl Entrée]],Table_BDD[[#This Row],[Lvl Sortie]]&lt;=Table_BDD[[#This Row],[S / L]]+2,Table_BDD[[#This Row],[Lvl Sortie]]&lt;Table_BDD[[#This Row],[Lvl Entrée]]-19),"Oui",IF(AND(Table_BDD[[#This Row],[Type]]="buy",Table_BDD[[#This Row],[S / L]]&gt;Table_BDD[[#This Row],[Lvl Entrée]],Table_BDD[[#This Row],[Lvl Sortie]]&gt;=Table_BDD[[#This Row],[S / L]]-2,Table_BDD[[#This Row],[S / L]]&gt;Table_BDD[[#This Row],[Lvl Entrée]]+19),"Oui","Non")))</f>
        <v>Non</v>
      </c>
      <c r="BB113" s="40" t="str">
        <f>IF(Table_BDD[[#This Row],[Position]]="","Sans objet",IF(AND(Table_BDD[[#This Row],[Type]]="sell",Table_BDD[[#This Row],[S / L]]&lt;Table_BDD[[#This Row],[Lvl Entrée]],Table_BDD[[#This Row],[Points]]&gt;=-1),"Oui",IF(AND(Table_BDD[[#This Row],[Type]]="sell",Table_BDD[[#This Row],[S / L]]&gt;Table_BDD[[#This Row],[Lvl Entrée]]),"Non",IF(AND(Table_BDD[[#This Row],[Type]]="buy",Table_BDD[[#This Row],[S / L]]&lt;Table_BDD[[#This Row],[Lvl Entrée]]),"Non",IF(AND(Table_BDD[[#This Row],[Type]]="buy",Table_BDD[[#This Row],[S / L]]&gt;Table_BDD[[#This Row],[Lvl Entrée]],Table_BDD[[#This Row],[Points]]&gt;=-1),"Oui")))))</f>
        <v>Non</v>
      </c>
      <c r="BC113" s="40" t="str">
        <f>IF(Table_BDD[[#This Row],[Position]]="","Sans objet",IF(Table_BDD[[#This Row],[T / P]]="","Non",IF(AND(Table_BDD[[#This Row],[Type]]="sell",Table_BDD[[#This Row],[Lvl Sortie]]&lt;=Table_BDD[[#This Row],[T / P]]),"Oui",IF(AND(Table_BDD[[#This Row],[Type]]="buy",Table_BDD[[#This Row],[Lvl Sortie]]&gt;=Table_BDD[[#This Row],[T / P]]),"Oui","Non"))))</f>
        <v>Non</v>
      </c>
      <c r="BD113" s="91">
        <f t="array" ref="BD113">IFERROR(INDEX(downloadFile[#All],MATCH(Table_BDD[[#This Row],[Date]],downloadFile[[#All],[Column1]],0),2),BD112)</f>
        <v>1.0867</v>
      </c>
      <c r="BE113" s="89">
        <f>IF(Table_BDD[[#This Row],[Position]]="","",IF(Table_BDD[[#This Row],[Symbole]]="UsaInd",(Table_BDD[[#This Row],[Volume]]*Table_BDD[[#This Row],[Lvl Entrée]])/(Table_BDD[[#This Row],[Equité avant trade]]*Table_BDD[[#This Row],[EUR/USD]]),IF(Table_BDD[[#This Row],[Symbole]]="Ger30",(Table_BDD[[#This Row],[Volume]]*Table_BDD[[#This Row],[Lvl Entrée]])/Table_BDD[[#This Row],[Equité avant trade]],)))</f>
        <v>15.04964300168654</v>
      </c>
      <c r="BF113" s="38">
        <f>IF(Table_BDD[[#This Row],[Position]]="","",IF(Table_BDD[[#This Row],[Conformité]]="Non conforme",0,(MROUND(3*((Table_BDD[[#This Row],[Conviction]]+Table_BDD[[#This Row],[Timing]]+Table_BDD[[#This Row],[Sortie]])+1)-2,1))))</f>
        <v>0</v>
      </c>
      <c r="BG113" s="38" t="str">
        <f>IF(Table_BDD[[#This Row],[Position]]="","",IF(Table_BDD[[#This Row],[Points]]&lt;-5,"--",IF(AND(Table_BDD[[#This Row],[Points]]&gt;=-5,Table_BDD[[#This Row],[Points]]&lt;-1.5),"-",IF(AND(Table_BDD[[#This Row],[Points]]&gt;=-1.5,Table_BDD[[#This Row],[Points]]&lt;1.5),"0",IF(AND(Table_BDD[[#This Row],[Points]]&gt;=1.5,Table_BDD[[#This Row],[Points]]&lt;=70),"+",IF(Table_BDD[[#This Row],[Points]]&gt;70,"++"))))))</f>
        <v>--</v>
      </c>
      <c r="BH113" s="37" t="str">
        <f>IF(Table_BDD[[#This Row],[Position]]="","",IF(Table_BDD[[#This Row],[Points]]&gt;0,"Gagnant",IF(Table_BDD[[#This Row],[Points]]=0,"Flat","Perdant")))</f>
        <v>Perdant</v>
      </c>
      <c r="BI113" s="40">
        <f>IF(Table_BDD[[#This Row],[Position]]="","",IF(Table_BDD[[#This Row],[Résultat]]="Gagnant",1,0))</f>
        <v>0</v>
      </c>
      <c r="BJ113" s="40">
        <f>IF(Table_BDD[[#This Row],[Position]]="","",IF(Table_BDD[[#This Row],[Résultat]]="Perdant",1,0))</f>
        <v>1</v>
      </c>
      <c r="BK113" s="40"/>
      <c r="BL113" s="145">
        <f>IF(Table_BDD[[#This Row],[T / P]]="","",Table_BDD[[#This Row],[T / P]])</f>
        <v>29231.79</v>
      </c>
      <c r="BM113" s="147"/>
      <c r="BN113" s="147"/>
      <c r="BO113" s="147"/>
      <c r="BP113" s="147"/>
      <c r="BQ113" s="127"/>
    </row>
    <row r="114" spans="1:69" x14ac:dyDescent="0.2">
      <c r="A114" s="93">
        <v>43874.703472222223</v>
      </c>
      <c r="B114" s="94">
        <v>259916884</v>
      </c>
      <c r="C114" s="37" t="s">
        <v>8</v>
      </c>
      <c r="D114" s="37" t="s">
        <v>10</v>
      </c>
      <c r="E114" s="37">
        <v>0.5</v>
      </c>
      <c r="F114" s="95">
        <v>29443.759999999998</v>
      </c>
      <c r="G114" s="95">
        <v>29452.99</v>
      </c>
      <c r="H114" s="95"/>
      <c r="I114" s="93">
        <v>43874.707812499997</v>
      </c>
      <c r="J114" s="95">
        <v>29453.78</v>
      </c>
      <c r="K114" s="95">
        <v>0</v>
      </c>
      <c r="L114" s="95">
        <v>0</v>
      </c>
      <c r="M114" s="32">
        <v>-4.62</v>
      </c>
      <c r="N114" s="148">
        <f>IF(Table_BDD[[#This Row],[Position]]="","",ROW()-3)</f>
        <v>111</v>
      </c>
      <c r="O114" s="32">
        <f>SUM($L$4:M114)</f>
        <v>-109.48999999999995</v>
      </c>
      <c r="P114" s="32">
        <f>Table_BDD[[#This Row],[Equité avant trade]]+Table_BDD[[#This Row],[Profit]]+Table_BDD[[#This Row],[Echange]]</f>
        <v>890.51</v>
      </c>
      <c r="Q114" s="52">
        <f>INT(Table_BDD[[#This Row],[Horodatage cloture]])</f>
        <v>43874</v>
      </c>
      <c r="R114" s="34">
        <f>WEEKNUM(Table_BDD[[#This Row],[Horodatage cloture]],2)</f>
        <v>7</v>
      </c>
      <c r="S114" s="61">
        <f>WEEKDAY(Table_BDD[[#This Row],[Horodatage cloture]])</f>
        <v>5</v>
      </c>
      <c r="T114" s="63">
        <f>HOUR(Table_BDD[[#This Row],[Horodatage cloture]])</f>
        <v>16</v>
      </c>
      <c r="U114" s="68">
        <f>IF(Table_BDD[[#This Row],[Position]]="","",IF(Table_BDD[[#This Row],[Valeur début de journée unique]]&lt;&gt;0,1,0))</f>
        <v>0</v>
      </c>
      <c r="V114" s="68" t="str">
        <f>IF(Table_BDD[[#This Row],[Nb de séance de trading]]=1,COUNTIF(Table_BDD[Date],Table_BDD[[#This Row],[Date]]),"")</f>
        <v/>
      </c>
      <c r="W114" s="33">
        <f>IF(Table_BDD[[#This Row],[Position]]="","",IF(Table_BDD[[#This Row],[Type]]="buy",ROUND(Table_BDD[[#This Row],[Lvl Entrée]]-Table_BDD[[#This Row],[S / L]],1),ROUND(Table_BDD[[#This Row],[S / L]]-Table_BDD[[#This Row],[Lvl Entrée]],1)))</f>
        <v>9.1999999999999993</v>
      </c>
      <c r="X114" s="33">
        <f>IF(Table_BDD[[#This Row],[Position]]="","",IF(Table_BDD[[#This Row],[T / P]]=0,200,IF(Table_BDD[[#This Row],[Type]]="buy",ROUND(Table_BDD[[#This Row],[T / P]]-Table_BDD[[#This Row],[Lvl Entrée]],1),ROUND(Table_BDD[[#This Row],[Lvl Entrée]]-Table_BDD[[#This Row],[T / P]],1))))</f>
        <v>200</v>
      </c>
      <c r="Y114" s="34">
        <f>IF(Table_BDD[[#This Row],[Position]]="","",IF(Table_BDD[[#This Row],[Ecart du SL]]&gt;0,ROUND(ABS(Table_BDD[[#This Row],[Ecart du TP]])/ABS(Table_BDD[[#This Row],[Ecart du SL]]),1),ROUND(ABS(Table_BDD[[#This Row],[Ecart du TP]])/10,1)))</f>
        <v>21.7</v>
      </c>
      <c r="Z114" s="34">
        <f>IF(Table_BDD[[#This Row],[Position]]="","",IF(Table_BDD[[#This Row],[Ecart du SL]]&lt;0,IF(AND(Table_BDD[[#This Row],[Profit]]&gt;0,Table_BDD[[#This Row],[Type]]="sell"),ROUND((Table_BDD[[#This Row],[Lvl Entrée]]-Table_BDD[[#This Row],[Lvl Sortie]])/(10),1),IF(AND(Table_BDD[[#This Row],[Profit]]&gt;0,Table_BDD[[#This Row],[Type]]="buy"),ROUND((Table_BDD[[#This Row],[Lvl Sortie]]-Table_BDD[[#This Row],[Lvl Entrée]])/(10),1),)),IF(AND(Table_BDD[[#This Row],[Profit]]&gt;0,Table_BDD[[#This Row],[Type]]="sell"),ROUND((Table_BDD[[#This Row],[Lvl Entrée]]-Table_BDD[[#This Row],[Lvl Sortie]])/(Table_BDD[[#This Row],[S / L]]-Table_BDD[[#This Row],[Lvl Entrée]]),1),IF(AND(Table_BDD[[#This Row],[Profit]]&gt;0,Table_BDD[[#This Row],[Type]]="buy"),ROUND((Table_BDD[[#This Row],[Lvl Sortie]]-Table_BDD[[#This Row],[Lvl Entrée]])/(Table_BDD[[#This Row],[Lvl Entrée]]-Table_BDD[[#This Row],[S / L]]),1),ROUND(Table_BDD[[#This Row],[Points]]/10,1)))))</f>
        <v>-1</v>
      </c>
      <c r="AA114" s="32">
        <f>IF(Table_BDD[[#This Row],[Position]]="",AA113,Table_BDD[[#This Row],[Equité après trade]]-Table_BDD[[#This Row],[Profit]]-Table_BDD[[#This Row],[Echange]])</f>
        <v>895.13</v>
      </c>
      <c r="AB114" s="149">
        <f>$B$1+SUM($L$4:M114)</f>
        <v>890.51</v>
      </c>
      <c r="AC114" s="150">
        <f>IF(Table_BDD[[#This Row],[Position]]="","",_xlfn.MINIFS(Table_BDD[Horodatage ouverture],Table_BDD[Date],Table_BDD[Date]))</f>
        <v>43874.650868055556</v>
      </c>
      <c r="AD114" s="149">
        <f>VLOOKUP(_xlfn.MINIFS(Table_BDD[Horodatage ouverture],Table_BDD[Date],Table_BDD[Date]),Table_BDD[[Horodatage ouverture]:[Heure derniere valeur]],AA$2)</f>
        <v>920.68000000000006</v>
      </c>
      <c r="AE114" s="149">
        <f>IF(VLOOKUP(_xlfn.MINIFS(Table_BDD[Horodatage ouverture],Table_BDD[Date],Table_BDD[Date]),Table_BDD[[Horodatage ouverture]:[Heure derniere valeur]],AA$2)=Table_BDD[[#This Row],[Equité avant trade]],VLOOKUP(_xlfn.MINIFS(Table_BDD[Horodatage ouverture],Table_BDD[Date],Table_BDD[Date]),Table_BDD[[Horodatage ouverture]:[Heure derniere valeur]],AA$2),0)</f>
        <v>0</v>
      </c>
      <c r="AF114" s="150">
        <f>IF(Table_BDD[[#This Row],[Position]]="","",_xlfn.MAXIFS(Table_BDD[Horodatage ouverture],Table_BDD[Date],Table_BDD[Date]))</f>
        <v>43874.763055555559</v>
      </c>
      <c r="AG114" s="32">
        <f>VLOOKUP(_xlfn.MAXIFS(Table_BDD[Horodatage cloture],Table_BDD[Date],Table_BDD[Date]),Table_BDD[[Horodatage ouverture]:[Heure derniere valeur]],AB$2)</f>
        <v>867.85</v>
      </c>
      <c r="AH114" s="32">
        <f>IF(VLOOKUP(_xlfn.MAXIFS(Table_BDD[Horodatage cloture],Table_BDD[Date],Table_BDD[Date]),Table_BDD[[Horodatage ouverture]:[Heure derniere valeur]],AB$2)=Table_BDD[[#This Row],[Equité après trade]],VLOOKUP(_xlfn.MAXIFS(Table_BDD[Horodatage cloture],Table_BDD[Date],Table_BDD[Date]),Table_BDD[[Horodatage ouverture]:[Heure derniere valeur]],AB$2),0)</f>
        <v>0</v>
      </c>
      <c r="AI114" s="32" t="e">
        <f>IF(Table_BDD[[#This Row],[Valeur fin de journée unique]]=0,#N/A,Table_BDD[[#This Row],[Valeur fin de journée unique]])</f>
        <v>#N/A</v>
      </c>
      <c r="AJ114" s="35">
        <f>IF(Table_BDD[[#This Row],[Position]]="","",(Table_BDD[[#This Row],[Equité après trade]]-Table_BDD[[#This Row],[Equité avant trade]])/Table_BDD[[#This Row],[Equité avant trade]])</f>
        <v>-5.1612614927440759E-3</v>
      </c>
      <c r="AK114" s="35" t="str">
        <f>IFERROR(((INDEX(Table_BDD[[Trade n°]:[Valeur fin de journée unique]],Table_BDD[[#This Row],[Nb de trade du jour]]+Table_BDD[[#This Row],[Trade n°]]-1,21))-Table_BDD[[#This Row],[Valeur début de journée unique]])/Table_BDD[[#This Row],[Valeur début de journée unique]],"")</f>
        <v/>
      </c>
      <c r="AL114" s="32">
        <f>IF(Table_BDD[[#This Row],[Position]]="","",MAX(Table_BDD[[#This Row],[Cumul équité]],AL113))</f>
        <v>1052.8399999999999</v>
      </c>
      <c r="AM114" s="32">
        <f>IF(Table_BDD[[#This Row],[Position]]="","",MIN(Table_BDD[[#This Row],[Cumul équité]],AL113))</f>
        <v>890.51</v>
      </c>
      <c r="AN114" s="97">
        <f>IF(Table_BDD[[#This Row],[Sommet Drawdown]]&gt;AL113,"",Table_BDD[[#This Row],[Creux Drawdown]]/Table_BDD[[#This Row],[Sommet Drawdown]]-1)</f>
        <v>-0.15418297177158913</v>
      </c>
      <c r="AO114" s="36">
        <f>IF(Table_BDD[[#This Row],[Position]]="","",IF(Table_BDD[[#This Row],[Type]]="buy",ROUND(Table_BDD[[#This Row],[Lvl Sortie]]-Table_BDD[[#This Row],[Lvl Entrée]],1),ROUND(Table_BDD[[#This Row],[Lvl Entrée]]-Table_BDD[[#This Row],[Lvl Sortie]],1)))</f>
        <v>-10</v>
      </c>
      <c r="AP114" s="36" t="str">
        <f>IF(Table_BDD[[#This Row],[Points]]&gt;0,Table_BDD[[#This Row],[Points]],"")</f>
        <v/>
      </c>
      <c r="AQ114" s="36">
        <f>IF(Table_BDD[[#This Row],[Points]]&lt;0,Table_BDD[[#This Row],[Points]],"")</f>
        <v>-10</v>
      </c>
      <c r="AR114" s="36">
        <f>SUM($AO$4:AO114)</f>
        <v>-238.49999999999997</v>
      </c>
      <c r="AS114" s="68">
        <f>IF(Table_BDD[[#This Row],[Position]]="","",IF(Table_BDD[[#This Row],[Conformité]]="Conforme",1,0))</f>
        <v>0</v>
      </c>
      <c r="AT114" s="68">
        <f>IF(Table_BDD[[#This Row],[Position]]="","",IF(Table_BDD[[#This Row],[Conformité]]="Non conforme",1,0))</f>
        <v>1</v>
      </c>
      <c r="AU114" s="37" t="s">
        <v>17</v>
      </c>
      <c r="AV114" s="37"/>
      <c r="AW114" s="37"/>
      <c r="AX114" s="37">
        <v>0</v>
      </c>
      <c r="AY114" s="37">
        <v>0</v>
      </c>
      <c r="AZ114" s="37">
        <v>0</v>
      </c>
      <c r="BA114" s="40" t="str">
        <f>IF(Table_BDD[[#This Row],[Position]]="","Sans objet",IF(AND(Table_BDD[[#This Row],[Type]]="sell",Table_BDD[[#This Row],[S / L]]&lt;Table_BDD[[#This Row],[Lvl Entrée]],Table_BDD[[#This Row],[Lvl Sortie]]&lt;=Table_BDD[[#This Row],[S / L]]+2,Table_BDD[[#This Row],[Lvl Sortie]]&lt;Table_BDD[[#This Row],[Lvl Entrée]]-19),"Oui",IF(AND(Table_BDD[[#This Row],[Type]]="buy",Table_BDD[[#This Row],[S / L]]&gt;Table_BDD[[#This Row],[Lvl Entrée]],Table_BDD[[#This Row],[Lvl Sortie]]&gt;=Table_BDD[[#This Row],[S / L]]-2,Table_BDD[[#This Row],[S / L]]&gt;Table_BDD[[#This Row],[Lvl Entrée]]+19),"Oui","Non")))</f>
        <v>Non</v>
      </c>
      <c r="BB114" s="40" t="str">
        <f>IF(Table_BDD[[#This Row],[Position]]="","Sans objet",IF(AND(Table_BDD[[#This Row],[Type]]="sell",Table_BDD[[#This Row],[S / L]]&lt;Table_BDD[[#This Row],[Lvl Entrée]],Table_BDD[[#This Row],[Points]]&gt;=-1),"Oui",IF(AND(Table_BDD[[#This Row],[Type]]="sell",Table_BDD[[#This Row],[S / L]]&gt;Table_BDD[[#This Row],[Lvl Entrée]]),"Non",IF(AND(Table_BDD[[#This Row],[Type]]="buy",Table_BDD[[#This Row],[S / L]]&lt;Table_BDD[[#This Row],[Lvl Entrée]]),"Non",IF(AND(Table_BDD[[#This Row],[Type]]="buy",Table_BDD[[#This Row],[S / L]]&gt;Table_BDD[[#This Row],[Lvl Entrée]],Table_BDD[[#This Row],[Points]]&gt;=-1),"Oui")))))</f>
        <v>Non</v>
      </c>
      <c r="BC114" s="40" t="str">
        <f>IF(Table_BDD[[#This Row],[Position]]="","Sans objet",IF(Table_BDD[[#This Row],[T / P]]="","Non",IF(AND(Table_BDD[[#This Row],[Type]]="sell",Table_BDD[[#This Row],[Lvl Sortie]]&lt;=Table_BDD[[#This Row],[T / P]]),"Oui",IF(AND(Table_BDD[[#This Row],[Type]]="buy",Table_BDD[[#This Row],[Lvl Sortie]]&gt;=Table_BDD[[#This Row],[T / P]]),"Oui","Non"))))</f>
        <v>Non</v>
      </c>
      <c r="BD114" s="91">
        <f t="array" ref="BD114">IFERROR(INDEX(downloadFile[#All],MATCH(Table_BDD[[#This Row],[Date]],downloadFile[[#All],[Column1]],0),2),BD113)</f>
        <v>1.0867</v>
      </c>
      <c r="BE114" s="89">
        <f>IF(Table_BDD[[#This Row],[Position]]="","",IF(Table_BDD[[#This Row],[Symbole]]="UsaInd",(Table_BDD[[#This Row],[Volume]]*Table_BDD[[#This Row],[Lvl Entrée]])/(Table_BDD[[#This Row],[Equité avant trade]]*Table_BDD[[#This Row],[EUR/USD]]),IF(Table_BDD[[#This Row],[Symbole]]="Ger30",(Table_BDD[[#This Row],[Volume]]*Table_BDD[[#This Row],[Lvl Entrée]])/Table_BDD[[#This Row],[Equité avant trade]],)))</f>
        <v>15.134479650014535</v>
      </c>
      <c r="BF114" s="38">
        <f>IF(Table_BDD[[#This Row],[Position]]="","",IF(Table_BDD[[#This Row],[Conformité]]="Non conforme",0,(MROUND(3*((Table_BDD[[#This Row],[Conviction]]+Table_BDD[[#This Row],[Timing]]+Table_BDD[[#This Row],[Sortie]])+1)-2,1))))</f>
        <v>0</v>
      </c>
      <c r="BG114" s="38" t="str">
        <f>IF(Table_BDD[[#This Row],[Position]]="","",IF(Table_BDD[[#This Row],[Points]]&lt;-5,"--",IF(AND(Table_BDD[[#This Row],[Points]]&gt;=-5,Table_BDD[[#This Row],[Points]]&lt;-1.5),"-",IF(AND(Table_BDD[[#This Row],[Points]]&gt;=-1.5,Table_BDD[[#This Row],[Points]]&lt;1.5),"0",IF(AND(Table_BDD[[#This Row],[Points]]&gt;=1.5,Table_BDD[[#This Row],[Points]]&lt;=70),"+",IF(Table_BDD[[#This Row],[Points]]&gt;70,"++"))))))</f>
        <v>--</v>
      </c>
      <c r="BH114" s="37" t="str">
        <f>IF(Table_BDD[[#This Row],[Position]]="","",IF(Table_BDD[[#This Row],[Points]]&gt;0,"Gagnant",IF(Table_BDD[[#This Row],[Points]]=0,"Flat","Perdant")))</f>
        <v>Perdant</v>
      </c>
      <c r="BI114" s="40">
        <f>IF(Table_BDD[[#This Row],[Position]]="","",IF(Table_BDD[[#This Row],[Résultat]]="Gagnant",1,0))</f>
        <v>0</v>
      </c>
      <c r="BJ114" s="40">
        <f>IF(Table_BDD[[#This Row],[Position]]="","",IF(Table_BDD[[#This Row],[Résultat]]="Perdant",1,0))</f>
        <v>1</v>
      </c>
      <c r="BK114" s="40"/>
      <c r="BL114" s="145" t="str">
        <f>IF(Table_BDD[[#This Row],[T / P]]="","",Table_BDD[[#This Row],[T / P]])</f>
        <v/>
      </c>
      <c r="BM114" s="147"/>
      <c r="BN114" s="147"/>
      <c r="BO114" s="147"/>
      <c r="BP114" s="147"/>
      <c r="BQ114" s="127"/>
    </row>
    <row r="115" spans="1:69" x14ac:dyDescent="0.2">
      <c r="A115" s="93">
        <v>43874.70784722222</v>
      </c>
      <c r="B115" s="94">
        <v>259916894</v>
      </c>
      <c r="C115" s="37" t="s">
        <v>8</v>
      </c>
      <c r="D115" s="37" t="s">
        <v>10</v>
      </c>
      <c r="E115" s="37">
        <v>0.5</v>
      </c>
      <c r="F115" s="95">
        <v>29454.75</v>
      </c>
      <c r="G115" s="95">
        <v>29463.88</v>
      </c>
      <c r="H115" s="95">
        <v>29269.99</v>
      </c>
      <c r="I115" s="93">
        <v>43874.710520833331</v>
      </c>
      <c r="J115" s="95">
        <v>29463.98</v>
      </c>
      <c r="K115" s="95">
        <v>0</v>
      </c>
      <c r="L115" s="95">
        <v>0</v>
      </c>
      <c r="M115" s="32">
        <v>-4.26</v>
      </c>
      <c r="N115" s="148">
        <f>IF(Table_BDD[[#This Row],[Position]]="","",ROW()-3)</f>
        <v>112</v>
      </c>
      <c r="O115" s="32">
        <f>SUM($L$4:M115)</f>
        <v>-113.74999999999996</v>
      </c>
      <c r="P115" s="32">
        <f>Table_BDD[[#This Row],[Equité avant trade]]+Table_BDD[[#This Row],[Profit]]+Table_BDD[[#This Row],[Echange]]</f>
        <v>886.25</v>
      </c>
      <c r="Q115" s="52">
        <f>INT(Table_BDD[[#This Row],[Horodatage cloture]])</f>
        <v>43874</v>
      </c>
      <c r="R115" s="34">
        <f>WEEKNUM(Table_BDD[[#This Row],[Horodatage cloture]],2)</f>
        <v>7</v>
      </c>
      <c r="S115" s="61">
        <f>WEEKDAY(Table_BDD[[#This Row],[Horodatage cloture]])</f>
        <v>5</v>
      </c>
      <c r="T115" s="63">
        <f>HOUR(Table_BDD[[#This Row],[Horodatage cloture]])</f>
        <v>17</v>
      </c>
      <c r="U115" s="68">
        <f>IF(Table_BDD[[#This Row],[Position]]="","",IF(Table_BDD[[#This Row],[Valeur début de journée unique]]&lt;&gt;0,1,0))</f>
        <v>0</v>
      </c>
      <c r="V115" s="68" t="str">
        <f>IF(Table_BDD[[#This Row],[Nb de séance de trading]]=1,COUNTIF(Table_BDD[Date],Table_BDD[[#This Row],[Date]]),"")</f>
        <v/>
      </c>
      <c r="W115" s="33">
        <f>IF(Table_BDD[[#This Row],[Position]]="","",IF(Table_BDD[[#This Row],[Type]]="buy",ROUND(Table_BDD[[#This Row],[Lvl Entrée]]-Table_BDD[[#This Row],[S / L]],1),ROUND(Table_BDD[[#This Row],[S / L]]-Table_BDD[[#This Row],[Lvl Entrée]],1)))</f>
        <v>9.1</v>
      </c>
      <c r="X115" s="33">
        <f>IF(Table_BDD[[#This Row],[Position]]="","",IF(Table_BDD[[#This Row],[T / P]]=0,200,IF(Table_BDD[[#This Row],[Type]]="buy",ROUND(Table_BDD[[#This Row],[T / P]]-Table_BDD[[#This Row],[Lvl Entrée]],1),ROUND(Table_BDD[[#This Row],[Lvl Entrée]]-Table_BDD[[#This Row],[T / P]],1))))</f>
        <v>184.8</v>
      </c>
      <c r="Y115" s="34">
        <f>IF(Table_BDD[[#This Row],[Position]]="","",IF(Table_BDD[[#This Row],[Ecart du SL]]&gt;0,ROUND(ABS(Table_BDD[[#This Row],[Ecart du TP]])/ABS(Table_BDD[[#This Row],[Ecart du SL]]),1),ROUND(ABS(Table_BDD[[#This Row],[Ecart du TP]])/10,1)))</f>
        <v>20.3</v>
      </c>
      <c r="Z115" s="34">
        <f>IF(Table_BDD[[#This Row],[Position]]="","",IF(Table_BDD[[#This Row],[Ecart du SL]]&lt;0,IF(AND(Table_BDD[[#This Row],[Profit]]&gt;0,Table_BDD[[#This Row],[Type]]="sell"),ROUND((Table_BDD[[#This Row],[Lvl Entrée]]-Table_BDD[[#This Row],[Lvl Sortie]])/(10),1),IF(AND(Table_BDD[[#This Row],[Profit]]&gt;0,Table_BDD[[#This Row],[Type]]="buy"),ROUND((Table_BDD[[#This Row],[Lvl Sortie]]-Table_BDD[[#This Row],[Lvl Entrée]])/(10),1),)),IF(AND(Table_BDD[[#This Row],[Profit]]&gt;0,Table_BDD[[#This Row],[Type]]="sell"),ROUND((Table_BDD[[#This Row],[Lvl Entrée]]-Table_BDD[[#This Row],[Lvl Sortie]])/(Table_BDD[[#This Row],[S / L]]-Table_BDD[[#This Row],[Lvl Entrée]]),1),IF(AND(Table_BDD[[#This Row],[Profit]]&gt;0,Table_BDD[[#This Row],[Type]]="buy"),ROUND((Table_BDD[[#This Row],[Lvl Sortie]]-Table_BDD[[#This Row],[Lvl Entrée]])/(Table_BDD[[#This Row],[Lvl Entrée]]-Table_BDD[[#This Row],[S / L]]),1),ROUND(Table_BDD[[#This Row],[Points]]/10,1)))))</f>
        <v>-0.9</v>
      </c>
      <c r="AA115" s="32">
        <f>IF(Table_BDD[[#This Row],[Position]]="",AA114,Table_BDD[[#This Row],[Equité après trade]]-Table_BDD[[#This Row],[Profit]]-Table_BDD[[#This Row],[Echange]])</f>
        <v>890.51</v>
      </c>
      <c r="AB115" s="149">
        <f>$B$1+SUM($L$4:M115)</f>
        <v>886.25</v>
      </c>
      <c r="AC115" s="150">
        <f>IF(Table_BDD[[#This Row],[Position]]="","",_xlfn.MINIFS(Table_BDD[Horodatage ouverture],Table_BDD[Date],Table_BDD[Date]))</f>
        <v>43874.650868055556</v>
      </c>
      <c r="AD115" s="149">
        <f>VLOOKUP(_xlfn.MINIFS(Table_BDD[Horodatage ouverture],Table_BDD[Date],Table_BDD[Date]),Table_BDD[[Horodatage ouverture]:[Heure derniere valeur]],AA$2)</f>
        <v>920.68000000000006</v>
      </c>
      <c r="AE115" s="149">
        <f>IF(VLOOKUP(_xlfn.MINIFS(Table_BDD[Horodatage ouverture],Table_BDD[Date],Table_BDD[Date]),Table_BDD[[Horodatage ouverture]:[Heure derniere valeur]],AA$2)=Table_BDD[[#This Row],[Equité avant trade]],VLOOKUP(_xlfn.MINIFS(Table_BDD[Horodatage ouverture],Table_BDD[Date],Table_BDD[Date]),Table_BDD[[Horodatage ouverture]:[Heure derniere valeur]],AA$2),0)</f>
        <v>0</v>
      </c>
      <c r="AF115" s="150">
        <f>IF(Table_BDD[[#This Row],[Position]]="","",_xlfn.MAXIFS(Table_BDD[Horodatage ouverture],Table_BDD[Date],Table_BDD[Date]))</f>
        <v>43874.763055555559</v>
      </c>
      <c r="AG115" s="32">
        <f>VLOOKUP(_xlfn.MAXIFS(Table_BDD[Horodatage cloture],Table_BDD[Date],Table_BDD[Date]),Table_BDD[[Horodatage ouverture]:[Heure derniere valeur]],AB$2)</f>
        <v>867.85</v>
      </c>
      <c r="AH115" s="32">
        <f>IF(VLOOKUP(_xlfn.MAXIFS(Table_BDD[Horodatage cloture],Table_BDD[Date],Table_BDD[Date]),Table_BDD[[Horodatage ouverture]:[Heure derniere valeur]],AB$2)=Table_BDD[[#This Row],[Equité après trade]],VLOOKUP(_xlfn.MAXIFS(Table_BDD[Horodatage cloture],Table_BDD[Date],Table_BDD[Date]),Table_BDD[[Horodatage ouverture]:[Heure derniere valeur]],AB$2),0)</f>
        <v>0</v>
      </c>
      <c r="AI115" s="32" t="e">
        <f>IF(Table_BDD[[#This Row],[Valeur fin de journée unique]]=0,#N/A,Table_BDD[[#This Row],[Valeur fin de journée unique]])</f>
        <v>#N/A</v>
      </c>
      <c r="AJ115" s="35">
        <f>IF(Table_BDD[[#This Row],[Position]]="","",(Table_BDD[[#This Row],[Equité après trade]]-Table_BDD[[#This Row],[Equité avant trade]])/Table_BDD[[#This Row],[Equité avant trade]])</f>
        <v>-4.7837755892690603E-3</v>
      </c>
      <c r="AK115" s="35" t="str">
        <f>IFERROR(((INDEX(Table_BDD[[Trade n°]:[Valeur fin de journée unique]],Table_BDD[[#This Row],[Nb de trade du jour]]+Table_BDD[[#This Row],[Trade n°]]-1,21))-Table_BDD[[#This Row],[Valeur début de journée unique]])/Table_BDD[[#This Row],[Valeur début de journée unique]],"")</f>
        <v/>
      </c>
      <c r="AL115" s="32">
        <f>IF(Table_BDD[[#This Row],[Position]]="","",MAX(Table_BDD[[#This Row],[Cumul équité]],AL114))</f>
        <v>1052.8399999999999</v>
      </c>
      <c r="AM115" s="32">
        <f>IF(Table_BDD[[#This Row],[Position]]="","",MIN(Table_BDD[[#This Row],[Cumul équité]],AL114))</f>
        <v>886.25</v>
      </c>
      <c r="AN115" s="97">
        <f>IF(Table_BDD[[#This Row],[Sommet Drawdown]]&gt;AL114,"",Table_BDD[[#This Row],[Creux Drawdown]]/Table_BDD[[#This Row],[Sommet Drawdown]]-1)</f>
        <v>-0.15822917062421638</v>
      </c>
      <c r="AO115" s="36">
        <f>IF(Table_BDD[[#This Row],[Position]]="","",IF(Table_BDD[[#This Row],[Type]]="buy",ROUND(Table_BDD[[#This Row],[Lvl Sortie]]-Table_BDD[[#This Row],[Lvl Entrée]],1),ROUND(Table_BDD[[#This Row],[Lvl Entrée]]-Table_BDD[[#This Row],[Lvl Sortie]],1)))</f>
        <v>-9.1999999999999993</v>
      </c>
      <c r="AP115" s="36" t="str">
        <f>IF(Table_BDD[[#This Row],[Points]]&gt;0,Table_BDD[[#This Row],[Points]],"")</f>
        <v/>
      </c>
      <c r="AQ115" s="36">
        <f>IF(Table_BDD[[#This Row],[Points]]&lt;0,Table_BDD[[#This Row],[Points]],"")</f>
        <v>-9.1999999999999993</v>
      </c>
      <c r="AR115" s="36">
        <f>SUM($AO$4:AO115)</f>
        <v>-247.69999999999996</v>
      </c>
      <c r="AS115" s="68">
        <f>IF(Table_BDD[[#This Row],[Position]]="","",IF(Table_BDD[[#This Row],[Conformité]]="Conforme",1,0))</f>
        <v>0</v>
      </c>
      <c r="AT115" s="68">
        <f>IF(Table_BDD[[#This Row],[Position]]="","",IF(Table_BDD[[#This Row],[Conformité]]="Non conforme",1,0))</f>
        <v>1</v>
      </c>
      <c r="AU115" s="37" t="s">
        <v>17</v>
      </c>
      <c r="AV115" s="37"/>
      <c r="AW115" s="37"/>
      <c r="AX115" s="37">
        <v>0</v>
      </c>
      <c r="AY115" s="37">
        <v>0</v>
      </c>
      <c r="AZ115" s="37">
        <v>0</v>
      </c>
      <c r="BA115" s="40" t="str">
        <f>IF(Table_BDD[[#This Row],[Position]]="","Sans objet",IF(AND(Table_BDD[[#This Row],[Type]]="sell",Table_BDD[[#This Row],[S / L]]&lt;Table_BDD[[#This Row],[Lvl Entrée]],Table_BDD[[#This Row],[Lvl Sortie]]&lt;=Table_BDD[[#This Row],[S / L]]+2,Table_BDD[[#This Row],[Lvl Sortie]]&lt;Table_BDD[[#This Row],[Lvl Entrée]]-19),"Oui",IF(AND(Table_BDD[[#This Row],[Type]]="buy",Table_BDD[[#This Row],[S / L]]&gt;Table_BDD[[#This Row],[Lvl Entrée]],Table_BDD[[#This Row],[Lvl Sortie]]&gt;=Table_BDD[[#This Row],[S / L]]-2,Table_BDD[[#This Row],[S / L]]&gt;Table_BDD[[#This Row],[Lvl Entrée]]+19),"Oui","Non")))</f>
        <v>Non</v>
      </c>
      <c r="BB115" s="40" t="str">
        <f>IF(Table_BDD[[#This Row],[Position]]="","Sans objet",IF(AND(Table_BDD[[#This Row],[Type]]="sell",Table_BDD[[#This Row],[S / L]]&lt;Table_BDD[[#This Row],[Lvl Entrée]],Table_BDD[[#This Row],[Points]]&gt;=-1),"Oui",IF(AND(Table_BDD[[#This Row],[Type]]="sell",Table_BDD[[#This Row],[S / L]]&gt;Table_BDD[[#This Row],[Lvl Entrée]]),"Non",IF(AND(Table_BDD[[#This Row],[Type]]="buy",Table_BDD[[#This Row],[S / L]]&lt;Table_BDD[[#This Row],[Lvl Entrée]]),"Non",IF(AND(Table_BDD[[#This Row],[Type]]="buy",Table_BDD[[#This Row],[S / L]]&gt;Table_BDD[[#This Row],[Lvl Entrée]],Table_BDD[[#This Row],[Points]]&gt;=-1),"Oui")))))</f>
        <v>Non</v>
      </c>
      <c r="BC115" s="40" t="str">
        <f>IF(Table_BDD[[#This Row],[Position]]="","Sans objet",IF(Table_BDD[[#This Row],[T / P]]="","Non",IF(AND(Table_BDD[[#This Row],[Type]]="sell",Table_BDD[[#This Row],[Lvl Sortie]]&lt;=Table_BDD[[#This Row],[T / P]]),"Oui",IF(AND(Table_BDD[[#This Row],[Type]]="buy",Table_BDD[[#This Row],[Lvl Sortie]]&gt;=Table_BDD[[#This Row],[T / P]]),"Oui","Non"))))</f>
        <v>Non</v>
      </c>
      <c r="BD115" s="91">
        <f t="array" ref="BD115">IFERROR(INDEX(downloadFile[#All],MATCH(Table_BDD[[#This Row],[Date]],downloadFile[[#All],[Column1]],0),2),BD114)</f>
        <v>1.0867</v>
      </c>
      <c r="BE115" s="89">
        <f>IF(Table_BDD[[#This Row],[Position]]="","",IF(Table_BDD[[#This Row],[Symbole]]="UsaInd",(Table_BDD[[#This Row],[Volume]]*Table_BDD[[#This Row],[Lvl Entrée]])/(Table_BDD[[#This Row],[Equité avant trade]]*Table_BDD[[#This Row],[EUR/USD]]),IF(Table_BDD[[#This Row],[Symbole]]="Ger30",(Table_BDD[[#This Row],[Volume]]*Table_BDD[[#This Row],[Lvl Entrée]])/Table_BDD[[#This Row],[Equité avant trade]],)))</f>
        <v>15.218676222022822</v>
      </c>
      <c r="BF115" s="38">
        <f>IF(Table_BDD[[#This Row],[Position]]="","",IF(Table_BDD[[#This Row],[Conformité]]="Non conforme",0,(MROUND(3*((Table_BDD[[#This Row],[Conviction]]+Table_BDD[[#This Row],[Timing]]+Table_BDD[[#This Row],[Sortie]])+1)-2,1))))</f>
        <v>0</v>
      </c>
      <c r="BG115" s="38" t="str">
        <f>IF(Table_BDD[[#This Row],[Position]]="","",IF(Table_BDD[[#This Row],[Points]]&lt;-5,"--",IF(AND(Table_BDD[[#This Row],[Points]]&gt;=-5,Table_BDD[[#This Row],[Points]]&lt;-1.5),"-",IF(AND(Table_BDD[[#This Row],[Points]]&gt;=-1.5,Table_BDD[[#This Row],[Points]]&lt;1.5),"0",IF(AND(Table_BDD[[#This Row],[Points]]&gt;=1.5,Table_BDD[[#This Row],[Points]]&lt;=70),"+",IF(Table_BDD[[#This Row],[Points]]&gt;70,"++"))))))</f>
        <v>--</v>
      </c>
      <c r="BH115" s="37" t="str">
        <f>IF(Table_BDD[[#This Row],[Position]]="","",IF(Table_BDD[[#This Row],[Points]]&gt;0,"Gagnant",IF(Table_BDD[[#This Row],[Points]]=0,"Flat","Perdant")))</f>
        <v>Perdant</v>
      </c>
      <c r="BI115" s="40">
        <f>IF(Table_BDD[[#This Row],[Position]]="","",IF(Table_BDD[[#This Row],[Résultat]]="Gagnant",1,0))</f>
        <v>0</v>
      </c>
      <c r="BJ115" s="40">
        <f>IF(Table_BDD[[#This Row],[Position]]="","",IF(Table_BDD[[#This Row],[Résultat]]="Perdant",1,0))</f>
        <v>1</v>
      </c>
      <c r="BK115" s="40"/>
      <c r="BL115" s="145">
        <f>IF(Table_BDD[[#This Row],[T / P]]="","",Table_BDD[[#This Row],[T / P]])</f>
        <v>29269.99</v>
      </c>
      <c r="BM115" s="147"/>
      <c r="BN115" s="147"/>
      <c r="BO115" s="147"/>
      <c r="BP115" s="147"/>
      <c r="BQ115" s="127"/>
    </row>
    <row r="116" spans="1:69" x14ac:dyDescent="0.2">
      <c r="A116" s="93">
        <v>43874.713078703702</v>
      </c>
      <c r="B116" s="94">
        <v>259918267</v>
      </c>
      <c r="C116" s="37" t="s">
        <v>8</v>
      </c>
      <c r="D116" s="37" t="s">
        <v>10</v>
      </c>
      <c r="E116" s="37">
        <v>0.5</v>
      </c>
      <c r="F116" s="95">
        <v>29459.75</v>
      </c>
      <c r="G116" s="95">
        <v>29469.75</v>
      </c>
      <c r="H116" s="95">
        <v>29259.75</v>
      </c>
      <c r="I116" s="93">
        <v>43874.724756944444</v>
      </c>
      <c r="J116" s="95">
        <v>29469.91</v>
      </c>
      <c r="K116" s="95">
        <v>0</v>
      </c>
      <c r="L116" s="95">
        <v>0</v>
      </c>
      <c r="M116" s="32">
        <v>-4.68</v>
      </c>
      <c r="N116" s="148">
        <f>IF(Table_BDD[[#This Row],[Position]]="","",ROW()-3)</f>
        <v>113</v>
      </c>
      <c r="O116" s="32">
        <f>SUM($L$4:M116)</f>
        <v>-118.42999999999995</v>
      </c>
      <c r="P116" s="32">
        <f>Table_BDD[[#This Row],[Equité avant trade]]+Table_BDD[[#This Row],[Profit]]+Table_BDD[[#This Row],[Echange]]</f>
        <v>881.57</v>
      </c>
      <c r="Q116" s="52">
        <f>INT(Table_BDD[[#This Row],[Horodatage cloture]])</f>
        <v>43874</v>
      </c>
      <c r="R116" s="34">
        <f>WEEKNUM(Table_BDD[[#This Row],[Horodatage cloture]],2)</f>
        <v>7</v>
      </c>
      <c r="S116" s="61">
        <f>WEEKDAY(Table_BDD[[#This Row],[Horodatage cloture]])</f>
        <v>5</v>
      </c>
      <c r="T116" s="63">
        <f>HOUR(Table_BDD[[#This Row],[Horodatage cloture]])</f>
        <v>17</v>
      </c>
      <c r="U116" s="68">
        <f>IF(Table_BDD[[#This Row],[Position]]="","",IF(Table_BDD[[#This Row],[Valeur début de journée unique]]&lt;&gt;0,1,0))</f>
        <v>0</v>
      </c>
      <c r="V116" s="68" t="str">
        <f>IF(Table_BDD[[#This Row],[Nb de séance de trading]]=1,COUNTIF(Table_BDD[Date],Table_BDD[[#This Row],[Date]]),"")</f>
        <v/>
      </c>
      <c r="W116" s="33">
        <f>IF(Table_BDD[[#This Row],[Position]]="","",IF(Table_BDD[[#This Row],[Type]]="buy",ROUND(Table_BDD[[#This Row],[Lvl Entrée]]-Table_BDD[[#This Row],[S / L]],1),ROUND(Table_BDD[[#This Row],[S / L]]-Table_BDD[[#This Row],[Lvl Entrée]],1)))</f>
        <v>10</v>
      </c>
      <c r="X116" s="33">
        <f>IF(Table_BDD[[#This Row],[Position]]="","",IF(Table_BDD[[#This Row],[T / P]]=0,200,IF(Table_BDD[[#This Row],[Type]]="buy",ROUND(Table_BDD[[#This Row],[T / P]]-Table_BDD[[#This Row],[Lvl Entrée]],1),ROUND(Table_BDD[[#This Row],[Lvl Entrée]]-Table_BDD[[#This Row],[T / P]],1))))</f>
        <v>200</v>
      </c>
      <c r="Y116" s="34">
        <f>IF(Table_BDD[[#This Row],[Position]]="","",IF(Table_BDD[[#This Row],[Ecart du SL]]&gt;0,ROUND(ABS(Table_BDD[[#This Row],[Ecart du TP]])/ABS(Table_BDD[[#This Row],[Ecart du SL]]),1),ROUND(ABS(Table_BDD[[#This Row],[Ecart du TP]])/10,1)))</f>
        <v>20</v>
      </c>
      <c r="Z116" s="34">
        <f>IF(Table_BDD[[#This Row],[Position]]="","",IF(Table_BDD[[#This Row],[Ecart du SL]]&lt;0,IF(AND(Table_BDD[[#This Row],[Profit]]&gt;0,Table_BDD[[#This Row],[Type]]="sell"),ROUND((Table_BDD[[#This Row],[Lvl Entrée]]-Table_BDD[[#This Row],[Lvl Sortie]])/(10),1),IF(AND(Table_BDD[[#This Row],[Profit]]&gt;0,Table_BDD[[#This Row],[Type]]="buy"),ROUND((Table_BDD[[#This Row],[Lvl Sortie]]-Table_BDD[[#This Row],[Lvl Entrée]])/(10),1),)),IF(AND(Table_BDD[[#This Row],[Profit]]&gt;0,Table_BDD[[#This Row],[Type]]="sell"),ROUND((Table_BDD[[#This Row],[Lvl Entrée]]-Table_BDD[[#This Row],[Lvl Sortie]])/(Table_BDD[[#This Row],[S / L]]-Table_BDD[[#This Row],[Lvl Entrée]]),1),IF(AND(Table_BDD[[#This Row],[Profit]]&gt;0,Table_BDD[[#This Row],[Type]]="buy"),ROUND((Table_BDD[[#This Row],[Lvl Sortie]]-Table_BDD[[#This Row],[Lvl Entrée]])/(Table_BDD[[#This Row],[Lvl Entrée]]-Table_BDD[[#This Row],[S / L]]),1),ROUND(Table_BDD[[#This Row],[Points]]/10,1)))))</f>
        <v>-1</v>
      </c>
      <c r="AA116" s="32">
        <f>IF(Table_BDD[[#This Row],[Position]]="",AA115,Table_BDD[[#This Row],[Equité après trade]]-Table_BDD[[#This Row],[Profit]]-Table_BDD[[#This Row],[Echange]])</f>
        <v>886.25</v>
      </c>
      <c r="AB116" s="149">
        <f>$B$1+SUM($L$4:M116)</f>
        <v>881.57</v>
      </c>
      <c r="AC116" s="150">
        <f>IF(Table_BDD[[#This Row],[Position]]="","",_xlfn.MINIFS(Table_BDD[Horodatage ouverture],Table_BDD[Date],Table_BDD[Date]))</f>
        <v>43874.650868055556</v>
      </c>
      <c r="AD116" s="149">
        <f>VLOOKUP(_xlfn.MINIFS(Table_BDD[Horodatage ouverture],Table_BDD[Date],Table_BDD[Date]),Table_BDD[[Horodatage ouverture]:[Heure derniere valeur]],AA$2)</f>
        <v>920.68000000000006</v>
      </c>
      <c r="AE116" s="149">
        <f>IF(VLOOKUP(_xlfn.MINIFS(Table_BDD[Horodatage ouverture],Table_BDD[Date],Table_BDD[Date]),Table_BDD[[Horodatage ouverture]:[Heure derniere valeur]],AA$2)=Table_BDD[[#This Row],[Equité avant trade]],VLOOKUP(_xlfn.MINIFS(Table_BDD[Horodatage ouverture],Table_BDD[Date],Table_BDD[Date]),Table_BDD[[Horodatage ouverture]:[Heure derniere valeur]],AA$2),0)</f>
        <v>0</v>
      </c>
      <c r="AF116" s="150">
        <f>IF(Table_BDD[[#This Row],[Position]]="","",_xlfn.MAXIFS(Table_BDD[Horodatage ouverture],Table_BDD[Date],Table_BDD[Date]))</f>
        <v>43874.763055555559</v>
      </c>
      <c r="AG116" s="32">
        <f>VLOOKUP(_xlfn.MAXIFS(Table_BDD[Horodatage cloture],Table_BDD[Date],Table_BDD[Date]),Table_BDD[[Horodatage ouverture]:[Heure derniere valeur]],AB$2)</f>
        <v>867.85</v>
      </c>
      <c r="AH116" s="32">
        <f>IF(VLOOKUP(_xlfn.MAXIFS(Table_BDD[Horodatage cloture],Table_BDD[Date],Table_BDD[Date]),Table_BDD[[Horodatage ouverture]:[Heure derniere valeur]],AB$2)=Table_BDD[[#This Row],[Equité après trade]],VLOOKUP(_xlfn.MAXIFS(Table_BDD[Horodatage cloture],Table_BDD[Date],Table_BDD[Date]),Table_BDD[[Horodatage ouverture]:[Heure derniere valeur]],AB$2),0)</f>
        <v>0</v>
      </c>
      <c r="AI116" s="32" t="e">
        <f>IF(Table_BDD[[#This Row],[Valeur fin de journée unique]]=0,#N/A,Table_BDD[[#This Row],[Valeur fin de journée unique]])</f>
        <v>#N/A</v>
      </c>
      <c r="AJ116" s="35">
        <f>IF(Table_BDD[[#This Row],[Position]]="","",(Table_BDD[[#This Row],[Equité après trade]]-Table_BDD[[#This Row],[Equité avant trade]])/Table_BDD[[#This Row],[Equité avant trade]])</f>
        <v>-5.2806770098730044E-3</v>
      </c>
      <c r="AK116" s="35" t="str">
        <f>IFERROR(((INDEX(Table_BDD[[Trade n°]:[Valeur fin de journée unique]],Table_BDD[[#This Row],[Nb de trade du jour]]+Table_BDD[[#This Row],[Trade n°]]-1,21))-Table_BDD[[#This Row],[Valeur début de journée unique]])/Table_BDD[[#This Row],[Valeur début de journée unique]],"")</f>
        <v/>
      </c>
      <c r="AL116" s="32">
        <f>IF(Table_BDD[[#This Row],[Position]]="","",MAX(Table_BDD[[#This Row],[Cumul équité]],AL115))</f>
        <v>1052.8399999999999</v>
      </c>
      <c r="AM116" s="32">
        <f>IF(Table_BDD[[#This Row],[Position]]="","",MIN(Table_BDD[[#This Row],[Cumul équité]],AL115))</f>
        <v>881.57</v>
      </c>
      <c r="AN116" s="97">
        <f>IF(Table_BDD[[#This Row],[Sommet Drawdown]]&gt;AL115,"",Table_BDD[[#This Row],[Creux Drawdown]]/Table_BDD[[#This Row],[Sommet Drawdown]]-1)</f>
        <v>-0.16267429049048276</v>
      </c>
      <c r="AO116" s="36">
        <f>IF(Table_BDD[[#This Row],[Position]]="","",IF(Table_BDD[[#This Row],[Type]]="buy",ROUND(Table_BDD[[#This Row],[Lvl Sortie]]-Table_BDD[[#This Row],[Lvl Entrée]],1),ROUND(Table_BDD[[#This Row],[Lvl Entrée]]-Table_BDD[[#This Row],[Lvl Sortie]],1)))</f>
        <v>-10.199999999999999</v>
      </c>
      <c r="AP116" s="36" t="str">
        <f>IF(Table_BDD[[#This Row],[Points]]&gt;0,Table_BDD[[#This Row],[Points]],"")</f>
        <v/>
      </c>
      <c r="AQ116" s="36">
        <f>IF(Table_BDD[[#This Row],[Points]]&lt;0,Table_BDD[[#This Row],[Points]],"")</f>
        <v>-10.199999999999999</v>
      </c>
      <c r="AR116" s="36">
        <f>SUM($AO$4:AO116)</f>
        <v>-257.89999999999998</v>
      </c>
      <c r="AS116" s="68">
        <f>IF(Table_BDD[[#This Row],[Position]]="","",IF(Table_BDD[[#This Row],[Conformité]]="Conforme",1,0))</f>
        <v>0</v>
      </c>
      <c r="AT116" s="68">
        <f>IF(Table_BDD[[#This Row],[Position]]="","",IF(Table_BDD[[#This Row],[Conformité]]="Non conforme",1,0))</f>
        <v>1</v>
      </c>
      <c r="AU116" s="37" t="s">
        <v>17</v>
      </c>
      <c r="AV116" s="37"/>
      <c r="AW116" s="37"/>
      <c r="AX116" s="37">
        <v>0</v>
      </c>
      <c r="AY116" s="37">
        <v>0</v>
      </c>
      <c r="AZ116" s="37">
        <v>0</v>
      </c>
      <c r="BA116" s="40" t="str">
        <f>IF(Table_BDD[[#This Row],[Position]]="","Sans objet",IF(AND(Table_BDD[[#This Row],[Type]]="sell",Table_BDD[[#This Row],[S / L]]&lt;Table_BDD[[#This Row],[Lvl Entrée]],Table_BDD[[#This Row],[Lvl Sortie]]&lt;=Table_BDD[[#This Row],[S / L]]+2,Table_BDD[[#This Row],[Lvl Sortie]]&lt;Table_BDD[[#This Row],[Lvl Entrée]]-19),"Oui",IF(AND(Table_BDD[[#This Row],[Type]]="buy",Table_BDD[[#This Row],[S / L]]&gt;Table_BDD[[#This Row],[Lvl Entrée]],Table_BDD[[#This Row],[Lvl Sortie]]&gt;=Table_BDD[[#This Row],[S / L]]-2,Table_BDD[[#This Row],[S / L]]&gt;Table_BDD[[#This Row],[Lvl Entrée]]+19),"Oui","Non")))</f>
        <v>Non</v>
      </c>
      <c r="BB116" s="40" t="str">
        <f>IF(Table_BDD[[#This Row],[Position]]="","Sans objet",IF(AND(Table_BDD[[#This Row],[Type]]="sell",Table_BDD[[#This Row],[S / L]]&lt;Table_BDD[[#This Row],[Lvl Entrée]],Table_BDD[[#This Row],[Points]]&gt;=-1),"Oui",IF(AND(Table_BDD[[#This Row],[Type]]="sell",Table_BDD[[#This Row],[S / L]]&gt;Table_BDD[[#This Row],[Lvl Entrée]]),"Non",IF(AND(Table_BDD[[#This Row],[Type]]="buy",Table_BDD[[#This Row],[S / L]]&lt;Table_BDD[[#This Row],[Lvl Entrée]]),"Non",IF(AND(Table_BDD[[#This Row],[Type]]="buy",Table_BDD[[#This Row],[S / L]]&gt;Table_BDD[[#This Row],[Lvl Entrée]],Table_BDD[[#This Row],[Points]]&gt;=-1),"Oui")))))</f>
        <v>Non</v>
      </c>
      <c r="BC116" s="40" t="str">
        <f>IF(Table_BDD[[#This Row],[Position]]="","Sans objet",IF(Table_BDD[[#This Row],[T / P]]="","Non",IF(AND(Table_BDD[[#This Row],[Type]]="sell",Table_BDD[[#This Row],[Lvl Sortie]]&lt;=Table_BDD[[#This Row],[T / P]]),"Oui",IF(AND(Table_BDD[[#This Row],[Type]]="buy",Table_BDD[[#This Row],[Lvl Sortie]]&gt;=Table_BDD[[#This Row],[T / P]]),"Oui","Non"))))</f>
        <v>Non</v>
      </c>
      <c r="BD116" s="91">
        <f t="array" ref="BD116">IFERROR(INDEX(downloadFile[#All],MATCH(Table_BDD[[#This Row],[Date]],downloadFile[[#All],[Column1]],0),2),BD115)</f>
        <v>1.0867</v>
      </c>
      <c r="BE116" s="89">
        <f>IF(Table_BDD[[#This Row],[Position]]="","",IF(Table_BDD[[#This Row],[Symbole]]="UsaInd",(Table_BDD[[#This Row],[Volume]]*Table_BDD[[#This Row],[Lvl Entrée]])/(Table_BDD[[#This Row],[Equité avant trade]]*Table_BDD[[#This Row],[EUR/USD]]),IF(Table_BDD[[#This Row],[Symbole]]="Ger30",(Table_BDD[[#This Row],[Volume]]*Table_BDD[[#This Row],[Lvl Entrée]])/Table_BDD[[#This Row],[Equité avant trade]],)))</f>
        <v>15.294424716955344</v>
      </c>
      <c r="BF116" s="38">
        <f>IF(Table_BDD[[#This Row],[Position]]="","",IF(Table_BDD[[#This Row],[Conformité]]="Non conforme",0,(MROUND(3*((Table_BDD[[#This Row],[Conviction]]+Table_BDD[[#This Row],[Timing]]+Table_BDD[[#This Row],[Sortie]])+1)-2,1))))</f>
        <v>0</v>
      </c>
      <c r="BG116" s="38" t="str">
        <f>IF(Table_BDD[[#This Row],[Position]]="","",IF(Table_BDD[[#This Row],[Points]]&lt;-5,"--",IF(AND(Table_BDD[[#This Row],[Points]]&gt;=-5,Table_BDD[[#This Row],[Points]]&lt;-1.5),"-",IF(AND(Table_BDD[[#This Row],[Points]]&gt;=-1.5,Table_BDD[[#This Row],[Points]]&lt;1.5),"0",IF(AND(Table_BDD[[#This Row],[Points]]&gt;=1.5,Table_BDD[[#This Row],[Points]]&lt;=70),"+",IF(Table_BDD[[#This Row],[Points]]&gt;70,"++"))))))</f>
        <v>--</v>
      </c>
      <c r="BH116" s="37" t="str">
        <f>IF(Table_BDD[[#This Row],[Position]]="","",IF(Table_BDD[[#This Row],[Points]]&gt;0,"Gagnant",IF(Table_BDD[[#This Row],[Points]]=0,"Flat","Perdant")))</f>
        <v>Perdant</v>
      </c>
      <c r="BI116" s="40">
        <f>IF(Table_BDD[[#This Row],[Position]]="","",IF(Table_BDD[[#This Row],[Résultat]]="Gagnant",1,0))</f>
        <v>0</v>
      </c>
      <c r="BJ116" s="40">
        <f>IF(Table_BDD[[#This Row],[Position]]="","",IF(Table_BDD[[#This Row],[Résultat]]="Perdant",1,0))</f>
        <v>1</v>
      </c>
      <c r="BK116" s="40"/>
      <c r="BL116" s="145">
        <f>IF(Table_BDD[[#This Row],[T / P]]="","",Table_BDD[[#This Row],[T / P]])</f>
        <v>29259.75</v>
      </c>
      <c r="BM116" s="147"/>
      <c r="BN116" s="147"/>
      <c r="BO116" s="147"/>
      <c r="BP116" s="147"/>
      <c r="BQ116" s="127"/>
    </row>
    <row r="117" spans="1:69" x14ac:dyDescent="0.2">
      <c r="A117" s="93">
        <v>43874.725972222222</v>
      </c>
      <c r="B117" s="94">
        <v>259920086</v>
      </c>
      <c r="C117" s="37" t="s">
        <v>8</v>
      </c>
      <c r="D117" s="37" t="s">
        <v>10</v>
      </c>
      <c r="E117" s="37">
        <v>0.5</v>
      </c>
      <c r="F117" s="95">
        <v>29469.82</v>
      </c>
      <c r="G117" s="95">
        <v>29479.82</v>
      </c>
      <c r="H117" s="95">
        <v>28919.82</v>
      </c>
      <c r="I117" s="93">
        <v>43874.727743055555</v>
      </c>
      <c r="J117" s="95">
        <v>29479.84</v>
      </c>
      <c r="K117" s="95">
        <v>0</v>
      </c>
      <c r="L117" s="95">
        <v>0</v>
      </c>
      <c r="M117" s="32">
        <v>-4.62</v>
      </c>
      <c r="N117" s="148">
        <f>IF(Table_BDD[[#This Row],[Position]]="","",ROW()-3)</f>
        <v>114</v>
      </c>
      <c r="O117" s="32">
        <f>SUM($L$4:M117)</f>
        <v>-123.04999999999995</v>
      </c>
      <c r="P117" s="32">
        <f>Table_BDD[[#This Row],[Equité avant trade]]+Table_BDD[[#This Row],[Profit]]+Table_BDD[[#This Row],[Echange]]</f>
        <v>876.95</v>
      </c>
      <c r="Q117" s="52">
        <f>INT(Table_BDD[[#This Row],[Horodatage cloture]])</f>
        <v>43874</v>
      </c>
      <c r="R117" s="34">
        <f>WEEKNUM(Table_BDD[[#This Row],[Horodatage cloture]],2)</f>
        <v>7</v>
      </c>
      <c r="S117" s="61">
        <f>WEEKDAY(Table_BDD[[#This Row],[Horodatage cloture]])</f>
        <v>5</v>
      </c>
      <c r="T117" s="63">
        <f>HOUR(Table_BDD[[#This Row],[Horodatage cloture]])</f>
        <v>17</v>
      </c>
      <c r="U117" s="68">
        <f>IF(Table_BDD[[#This Row],[Position]]="","",IF(Table_BDD[[#This Row],[Valeur début de journée unique]]&lt;&gt;0,1,0))</f>
        <v>0</v>
      </c>
      <c r="V117" s="68" t="str">
        <f>IF(Table_BDD[[#This Row],[Nb de séance de trading]]=1,COUNTIF(Table_BDD[Date],Table_BDD[[#This Row],[Date]]),"")</f>
        <v/>
      </c>
      <c r="W117" s="33">
        <f>IF(Table_BDD[[#This Row],[Position]]="","",IF(Table_BDD[[#This Row],[Type]]="buy",ROUND(Table_BDD[[#This Row],[Lvl Entrée]]-Table_BDD[[#This Row],[S / L]],1),ROUND(Table_BDD[[#This Row],[S / L]]-Table_BDD[[#This Row],[Lvl Entrée]],1)))</f>
        <v>10</v>
      </c>
      <c r="X117" s="33">
        <f>IF(Table_BDD[[#This Row],[Position]]="","",IF(Table_BDD[[#This Row],[T / P]]=0,200,IF(Table_BDD[[#This Row],[Type]]="buy",ROUND(Table_BDD[[#This Row],[T / P]]-Table_BDD[[#This Row],[Lvl Entrée]],1),ROUND(Table_BDD[[#This Row],[Lvl Entrée]]-Table_BDD[[#This Row],[T / P]],1))))</f>
        <v>550</v>
      </c>
      <c r="Y117" s="34">
        <f>IF(Table_BDD[[#This Row],[Position]]="","",IF(Table_BDD[[#This Row],[Ecart du SL]]&gt;0,ROUND(ABS(Table_BDD[[#This Row],[Ecart du TP]])/ABS(Table_BDD[[#This Row],[Ecart du SL]]),1),ROUND(ABS(Table_BDD[[#This Row],[Ecart du TP]])/10,1)))</f>
        <v>55</v>
      </c>
      <c r="Z117" s="34">
        <f>IF(Table_BDD[[#This Row],[Position]]="","",IF(Table_BDD[[#This Row],[Ecart du SL]]&lt;0,IF(AND(Table_BDD[[#This Row],[Profit]]&gt;0,Table_BDD[[#This Row],[Type]]="sell"),ROUND((Table_BDD[[#This Row],[Lvl Entrée]]-Table_BDD[[#This Row],[Lvl Sortie]])/(10),1),IF(AND(Table_BDD[[#This Row],[Profit]]&gt;0,Table_BDD[[#This Row],[Type]]="buy"),ROUND((Table_BDD[[#This Row],[Lvl Sortie]]-Table_BDD[[#This Row],[Lvl Entrée]])/(10),1),)),IF(AND(Table_BDD[[#This Row],[Profit]]&gt;0,Table_BDD[[#This Row],[Type]]="sell"),ROUND((Table_BDD[[#This Row],[Lvl Entrée]]-Table_BDD[[#This Row],[Lvl Sortie]])/(Table_BDD[[#This Row],[S / L]]-Table_BDD[[#This Row],[Lvl Entrée]]),1),IF(AND(Table_BDD[[#This Row],[Profit]]&gt;0,Table_BDD[[#This Row],[Type]]="buy"),ROUND((Table_BDD[[#This Row],[Lvl Sortie]]-Table_BDD[[#This Row],[Lvl Entrée]])/(Table_BDD[[#This Row],[Lvl Entrée]]-Table_BDD[[#This Row],[S / L]]),1),ROUND(Table_BDD[[#This Row],[Points]]/10,1)))))</f>
        <v>-1</v>
      </c>
      <c r="AA117" s="32">
        <f>IF(Table_BDD[[#This Row],[Position]]="",AA116,Table_BDD[[#This Row],[Equité après trade]]-Table_BDD[[#This Row],[Profit]]-Table_BDD[[#This Row],[Echange]])</f>
        <v>881.57</v>
      </c>
      <c r="AB117" s="149">
        <f>$B$1+SUM($L$4:M117)</f>
        <v>876.95</v>
      </c>
      <c r="AC117" s="150">
        <f>IF(Table_BDD[[#This Row],[Position]]="","",_xlfn.MINIFS(Table_BDD[Horodatage ouverture],Table_BDD[Date],Table_BDD[Date]))</f>
        <v>43874.650868055556</v>
      </c>
      <c r="AD117" s="149">
        <f>VLOOKUP(_xlfn.MINIFS(Table_BDD[Horodatage ouverture],Table_BDD[Date],Table_BDD[Date]),Table_BDD[[Horodatage ouverture]:[Heure derniere valeur]],AA$2)</f>
        <v>920.68000000000006</v>
      </c>
      <c r="AE117" s="149">
        <f>IF(VLOOKUP(_xlfn.MINIFS(Table_BDD[Horodatage ouverture],Table_BDD[Date],Table_BDD[Date]),Table_BDD[[Horodatage ouverture]:[Heure derniere valeur]],AA$2)=Table_BDD[[#This Row],[Equité avant trade]],VLOOKUP(_xlfn.MINIFS(Table_BDD[Horodatage ouverture],Table_BDD[Date],Table_BDD[Date]),Table_BDD[[Horodatage ouverture]:[Heure derniere valeur]],AA$2),0)</f>
        <v>0</v>
      </c>
      <c r="AF117" s="150">
        <f>IF(Table_BDD[[#This Row],[Position]]="","",_xlfn.MAXIFS(Table_BDD[Horodatage ouverture],Table_BDD[Date],Table_BDD[Date]))</f>
        <v>43874.763055555559</v>
      </c>
      <c r="AG117" s="32">
        <f>VLOOKUP(_xlfn.MAXIFS(Table_BDD[Horodatage cloture],Table_BDD[Date],Table_BDD[Date]),Table_BDD[[Horodatage ouverture]:[Heure derniere valeur]],AB$2)</f>
        <v>867.85</v>
      </c>
      <c r="AH117" s="32">
        <f>IF(VLOOKUP(_xlfn.MAXIFS(Table_BDD[Horodatage cloture],Table_BDD[Date],Table_BDD[Date]),Table_BDD[[Horodatage ouverture]:[Heure derniere valeur]],AB$2)=Table_BDD[[#This Row],[Equité après trade]],VLOOKUP(_xlfn.MAXIFS(Table_BDD[Horodatage cloture],Table_BDD[Date],Table_BDD[Date]),Table_BDD[[Horodatage ouverture]:[Heure derniere valeur]],AB$2),0)</f>
        <v>0</v>
      </c>
      <c r="AI117" s="32" t="e">
        <f>IF(Table_BDD[[#This Row],[Valeur fin de journée unique]]=0,#N/A,Table_BDD[[#This Row],[Valeur fin de journée unique]])</f>
        <v>#N/A</v>
      </c>
      <c r="AJ117" s="35">
        <f>IF(Table_BDD[[#This Row],[Position]]="","",(Table_BDD[[#This Row],[Equité après trade]]-Table_BDD[[#This Row],[Equité avant trade]])/Table_BDD[[#This Row],[Equité avant trade]])</f>
        <v>-5.2406502036140114E-3</v>
      </c>
      <c r="AK117" s="35" t="str">
        <f>IFERROR(((INDEX(Table_BDD[[Trade n°]:[Valeur fin de journée unique]],Table_BDD[[#This Row],[Nb de trade du jour]]+Table_BDD[[#This Row],[Trade n°]]-1,21))-Table_BDD[[#This Row],[Valeur début de journée unique]])/Table_BDD[[#This Row],[Valeur début de journée unique]],"")</f>
        <v/>
      </c>
      <c r="AL117" s="32">
        <f>IF(Table_BDD[[#This Row],[Position]]="","",MAX(Table_BDD[[#This Row],[Cumul équité]],AL116))</f>
        <v>1052.8399999999999</v>
      </c>
      <c r="AM117" s="32">
        <f>IF(Table_BDD[[#This Row],[Position]]="","",MIN(Table_BDD[[#This Row],[Cumul équité]],AL116))</f>
        <v>876.95</v>
      </c>
      <c r="AN117" s="97">
        <f>IF(Table_BDD[[#This Row],[Sommet Drawdown]]&gt;AL116,"",Table_BDD[[#This Row],[Creux Drawdown]]/Table_BDD[[#This Row],[Sommet Drawdown]]-1)</f>
        <v>-0.1670624216405151</v>
      </c>
      <c r="AO117" s="36">
        <f>IF(Table_BDD[[#This Row],[Position]]="","",IF(Table_BDD[[#This Row],[Type]]="buy",ROUND(Table_BDD[[#This Row],[Lvl Sortie]]-Table_BDD[[#This Row],[Lvl Entrée]],1),ROUND(Table_BDD[[#This Row],[Lvl Entrée]]-Table_BDD[[#This Row],[Lvl Sortie]],1)))</f>
        <v>-10</v>
      </c>
      <c r="AP117" s="36" t="str">
        <f>IF(Table_BDD[[#This Row],[Points]]&gt;0,Table_BDD[[#This Row],[Points]],"")</f>
        <v/>
      </c>
      <c r="AQ117" s="36">
        <f>IF(Table_BDD[[#This Row],[Points]]&lt;0,Table_BDD[[#This Row],[Points]],"")</f>
        <v>-10</v>
      </c>
      <c r="AR117" s="36">
        <f>SUM($AO$4:AO117)</f>
        <v>-267.89999999999998</v>
      </c>
      <c r="AS117" s="68">
        <f>IF(Table_BDD[[#This Row],[Position]]="","",IF(Table_BDD[[#This Row],[Conformité]]="Conforme",1,0))</f>
        <v>0</v>
      </c>
      <c r="AT117" s="68">
        <f>IF(Table_BDD[[#This Row],[Position]]="","",IF(Table_BDD[[#This Row],[Conformité]]="Non conforme",1,0))</f>
        <v>1</v>
      </c>
      <c r="AU117" s="37" t="s">
        <v>17</v>
      </c>
      <c r="AV117" s="37"/>
      <c r="AW117" s="37"/>
      <c r="AX117" s="37">
        <v>0</v>
      </c>
      <c r="AY117" s="37">
        <v>0</v>
      </c>
      <c r="AZ117" s="37">
        <v>0</v>
      </c>
      <c r="BA117" s="40" t="str">
        <f>IF(Table_BDD[[#This Row],[Position]]="","Sans objet",IF(AND(Table_BDD[[#This Row],[Type]]="sell",Table_BDD[[#This Row],[S / L]]&lt;Table_BDD[[#This Row],[Lvl Entrée]],Table_BDD[[#This Row],[Lvl Sortie]]&lt;=Table_BDD[[#This Row],[S / L]]+2,Table_BDD[[#This Row],[Lvl Sortie]]&lt;Table_BDD[[#This Row],[Lvl Entrée]]-19),"Oui",IF(AND(Table_BDD[[#This Row],[Type]]="buy",Table_BDD[[#This Row],[S / L]]&gt;Table_BDD[[#This Row],[Lvl Entrée]],Table_BDD[[#This Row],[Lvl Sortie]]&gt;=Table_BDD[[#This Row],[S / L]]-2,Table_BDD[[#This Row],[S / L]]&gt;Table_BDD[[#This Row],[Lvl Entrée]]+19),"Oui","Non")))</f>
        <v>Non</v>
      </c>
      <c r="BB117" s="40" t="str">
        <f>IF(Table_BDD[[#This Row],[Position]]="","Sans objet",IF(AND(Table_BDD[[#This Row],[Type]]="sell",Table_BDD[[#This Row],[S / L]]&lt;Table_BDD[[#This Row],[Lvl Entrée]],Table_BDD[[#This Row],[Points]]&gt;=-1),"Oui",IF(AND(Table_BDD[[#This Row],[Type]]="sell",Table_BDD[[#This Row],[S / L]]&gt;Table_BDD[[#This Row],[Lvl Entrée]]),"Non",IF(AND(Table_BDD[[#This Row],[Type]]="buy",Table_BDD[[#This Row],[S / L]]&lt;Table_BDD[[#This Row],[Lvl Entrée]]),"Non",IF(AND(Table_BDD[[#This Row],[Type]]="buy",Table_BDD[[#This Row],[S / L]]&gt;Table_BDD[[#This Row],[Lvl Entrée]],Table_BDD[[#This Row],[Points]]&gt;=-1),"Oui")))))</f>
        <v>Non</v>
      </c>
      <c r="BC117" s="40" t="str">
        <f>IF(Table_BDD[[#This Row],[Position]]="","Sans objet",IF(Table_BDD[[#This Row],[T / P]]="","Non",IF(AND(Table_BDD[[#This Row],[Type]]="sell",Table_BDD[[#This Row],[Lvl Sortie]]&lt;=Table_BDD[[#This Row],[T / P]]),"Oui",IF(AND(Table_BDD[[#This Row],[Type]]="buy",Table_BDD[[#This Row],[Lvl Sortie]]&gt;=Table_BDD[[#This Row],[T / P]]),"Oui","Non"))))</f>
        <v>Non</v>
      </c>
      <c r="BD117" s="91">
        <f t="array" ref="BD117">IFERROR(INDEX(downloadFile[#All],MATCH(Table_BDD[[#This Row],[Date]],downloadFile[[#All],[Column1]],0),2),BD116)</f>
        <v>1.0867</v>
      </c>
      <c r="BE117" s="89">
        <f>IF(Table_BDD[[#This Row],[Position]]="","",IF(Table_BDD[[#This Row],[Symbole]]="UsaInd",(Table_BDD[[#This Row],[Volume]]*Table_BDD[[#This Row],[Lvl Entrée]])/(Table_BDD[[#This Row],[Equité avant trade]]*Table_BDD[[#This Row],[EUR/USD]]),IF(Table_BDD[[#This Row],[Symbole]]="Ger30",(Table_BDD[[#This Row],[Volume]]*Table_BDD[[#This Row],[Lvl Entrée]])/Table_BDD[[#This Row],[Equité avant trade]],)))</f>
        <v>15.380874121010162</v>
      </c>
      <c r="BF117" s="38">
        <f>IF(Table_BDD[[#This Row],[Position]]="","",IF(Table_BDD[[#This Row],[Conformité]]="Non conforme",0,(MROUND(3*((Table_BDD[[#This Row],[Conviction]]+Table_BDD[[#This Row],[Timing]]+Table_BDD[[#This Row],[Sortie]])+1)-2,1))))</f>
        <v>0</v>
      </c>
      <c r="BG117" s="38" t="str">
        <f>IF(Table_BDD[[#This Row],[Position]]="","",IF(Table_BDD[[#This Row],[Points]]&lt;-5,"--",IF(AND(Table_BDD[[#This Row],[Points]]&gt;=-5,Table_BDD[[#This Row],[Points]]&lt;-1.5),"-",IF(AND(Table_BDD[[#This Row],[Points]]&gt;=-1.5,Table_BDD[[#This Row],[Points]]&lt;1.5),"0",IF(AND(Table_BDD[[#This Row],[Points]]&gt;=1.5,Table_BDD[[#This Row],[Points]]&lt;=70),"+",IF(Table_BDD[[#This Row],[Points]]&gt;70,"++"))))))</f>
        <v>--</v>
      </c>
      <c r="BH117" s="37" t="str">
        <f>IF(Table_BDD[[#This Row],[Position]]="","",IF(Table_BDD[[#This Row],[Points]]&gt;0,"Gagnant",IF(Table_BDD[[#This Row],[Points]]=0,"Flat","Perdant")))</f>
        <v>Perdant</v>
      </c>
      <c r="BI117" s="40">
        <f>IF(Table_BDD[[#This Row],[Position]]="","",IF(Table_BDD[[#This Row],[Résultat]]="Gagnant",1,0))</f>
        <v>0</v>
      </c>
      <c r="BJ117" s="40">
        <f>IF(Table_BDD[[#This Row],[Position]]="","",IF(Table_BDD[[#This Row],[Résultat]]="Perdant",1,0))</f>
        <v>1</v>
      </c>
      <c r="BK117" s="40"/>
      <c r="BL117" s="145">
        <f>IF(Table_BDD[[#This Row],[T / P]]="","",Table_BDD[[#This Row],[T / P]])</f>
        <v>28919.82</v>
      </c>
      <c r="BM117" s="147"/>
      <c r="BN117" s="147"/>
      <c r="BO117" s="147"/>
      <c r="BP117" s="147"/>
      <c r="BQ117" s="127"/>
    </row>
    <row r="118" spans="1:69" x14ac:dyDescent="0.2">
      <c r="A118" s="93">
        <v>43874.727881944447</v>
      </c>
      <c r="B118" s="94">
        <v>259920330</v>
      </c>
      <c r="C118" s="37" t="s">
        <v>8</v>
      </c>
      <c r="D118" s="37" t="s">
        <v>10</v>
      </c>
      <c r="E118" s="37">
        <v>0.5</v>
      </c>
      <c r="F118" s="95">
        <v>29476.76</v>
      </c>
      <c r="G118" s="95">
        <v>29486.76</v>
      </c>
      <c r="H118" s="95">
        <v>28916.76</v>
      </c>
      <c r="I118" s="93">
        <v>43874.73096064815</v>
      </c>
      <c r="J118" s="95">
        <v>29486.959999999999</v>
      </c>
      <c r="K118" s="95">
        <v>0</v>
      </c>
      <c r="L118" s="95">
        <v>0</v>
      </c>
      <c r="M118" s="32">
        <v>-4.7</v>
      </c>
      <c r="N118" s="148">
        <f>IF(Table_BDD[[#This Row],[Position]]="","",ROW()-3)</f>
        <v>115</v>
      </c>
      <c r="O118" s="32">
        <f>SUM($L$4:M118)</f>
        <v>-127.74999999999996</v>
      </c>
      <c r="P118" s="32">
        <f>Table_BDD[[#This Row],[Equité avant trade]]+Table_BDD[[#This Row],[Profit]]+Table_BDD[[#This Row],[Echange]]</f>
        <v>872.25</v>
      </c>
      <c r="Q118" s="52">
        <f>INT(Table_BDD[[#This Row],[Horodatage cloture]])</f>
        <v>43874</v>
      </c>
      <c r="R118" s="34">
        <f>WEEKNUM(Table_BDD[[#This Row],[Horodatage cloture]],2)</f>
        <v>7</v>
      </c>
      <c r="S118" s="61">
        <f>WEEKDAY(Table_BDD[[#This Row],[Horodatage cloture]])</f>
        <v>5</v>
      </c>
      <c r="T118" s="63">
        <f>HOUR(Table_BDD[[#This Row],[Horodatage cloture]])</f>
        <v>17</v>
      </c>
      <c r="U118" s="68">
        <f>IF(Table_BDD[[#This Row],[Position]]="","",IF(Table_BDD[[#This Row],[Valeur début de journée unique]]&lt;&gt;0,1,0))</f>
        <v>0</v>
      </c>
      <c r="V118" s="68" t="str">
        <f>IF(Table_BDD[[#This Row],[Nb de séance de trading]]=1,COUNTIF(Table_BDD[Date],Table_BDD[[#This Row],[Date]]),"")</f>
        <v/>
      </c>
      <c r="W118" s="33">
        <f>IF(Table_BDD[[#This Row],[Position]]="","",IF(Table_BDD[[#This Row],[Type]]="buy",ROUND(Table_BDD[[#This Row],[Lvl Entrée]]-Table_BDD[[#This Row],[S / L]],1),ROUND(Table_BDD[[#This Row],[S / L]]-Table_BDD[[#This Row],[Lvl Entrée]],1)))</f>
        <v>10</v>
      </c>
      <c r="X118" s="33">
        <f>IF(Table_BDD[[#This Row],[Position]]="","",IF(Table_BDD[[#This Row],[T / P]]=0,200,IF(Table_BDD[[#This Row],[Type]]="buy",ROUND(Table_BDD[[#This Row],[T / P]]-Table_BDD[[#This Row],[Lvl Entrée]],1),ROUND(Table_BDD[[#This Row],[Lvl Entrée]]-Table_BDD[[#This Row],[T / P]],1))))</f>
        <v>560</v>
      </c>
      <c r="Y118" s="34">
        <f>IF(Table_BDD[[#This Row],[Position]]="","",IF(Table_BDD[[#This Row],[Ecart du SL]]&gt;0,ROUND(ABS(Table_BDD[[#This Row],[Ecart du TP]])/ABS(Table_BDD[[#This Row],[Ecart du SL]]),1),ROUND(ABS(Table_BDD[[#This Row],[Ecart du TP]])/10,1)))</f>
        <v>56</v>
      </c>
      <c r="Z118" s="34">
        <f>IF(Table_BDD[[#This Row],[Position]]="","",IF(Table_BDD[[#This Row],[Ecart du SL]]&lt;0,IF(AND(Table_BDD[[#This Row],[Profit]]&gt;0,Table_BDD[[#This Row],[Type]]="sell"),ROUND((Table_BDD[[#This Row],[Lvl Entrée]]-Table_BDD[[#This Row],[Lvl Sortie]])/(10),1),IF(AND(Table_BDD[[#This Row],[Profit]]&gt;0,Table_BDD[[#This Row],[Type]]="buy"),ROUND((Table_BDD[[#This Row],[Lvl Sortie]]-Table_BDD[[#This Row],[Lvl Entrée]])/(10),1),)),IF(AND(Table_BDD[[#This Row],[Profit]]&gt;0,Table_BDD[[#This Row],[Type]]="sell"),ROUND((Table_BDD[[#This Row],[Lvl Entrée]]-Table_BDD[[#This Row],[Lvl Sortie]])/(Table_BDD[[#This Row],[S / L]]-Table_BDD[[#This Row],[Lvl Entrée]]),1),IF(AND(Table_BDD[[#This Row],[Profit]]&gt;0,Table_BDD[[#This Row],[Type]]="buy"),ROUND((Table_BDD[[#This Row],[Lvl Sortie]]-Table_BDD[[#This Row],[Lvl Entrée]])/(Table_BDD[[#This Row],[Lvl Entrée]]-Table_BDD[[#This Row],[S / L]]),1),ROUND(Table_BDD[[#This Row],[Points]]/10,1)))))</f>
        <v>-1</v>
      </c>
      <c r="AA118" s="32">
        <f>IF(Table_BDD[[#This Row],[Position]]="",AA117,Table_BDD[[#This Row],[Equité après trade]]-Table_BDD[[#This Row],[Profit]]-Table_BDD[[#This Row],[Echange]])</f>
        <v>876.95</v>
      </c>
      <c r="AB118" s="149">
        <f>$B$1+SUM($L$4:M118)</f>
        <v>872.25</v>
      </c>
      <c r="AC118" s="150">
        <f>IF(Table_BDD[[#This Row],[Position]]="","",_xlfn.MINIFS(Table_BDD[Horodatage ouverture],Table_BDD[Date],Table_BDD[Date]))</f>
        <v>43874.650868055556</v>
      </c>
      <c r="AD118" s="149">
        <f>VLOOKUP(_xlfn.MINIFS(Table_BDD[Horodatage ouverture],Table_BDD[Date],Table_BDD[Date]),Table_BDD[[Horodatage ouverture]:[Heure derniere valeur]],AA$2)</f>
        <v>920.68000000000006</v>
      </c>
      <c r="AE118" s="149">
        <f>IF(VLOOKUP(_xlfn.MINIFS(Table_BDD[Horodatage ouverture],Table_BDD[Date],Table_BDD[Date]),Table_BDD[[Horodatage ouverture]:[Heure derniere valeur]],AA$2)=Table_BDD[[#This Row],[Equité avant trade]],VLOOKUP(_xlfn.MINIFS(Table_BDD[Horodatage ouverture],Table_BDD[Date],Table_BDD[Date]),Table_BDD[[Horodatage ouverture]:[Heure derniere valeur]],AA$2),0)</f>
        <v>0</v>
      </c>
      <c r="AF118" s="150">
        <f>IF(Table_BDD[[#This Row],[Position]]="","",_xlfn.MAXIFS(Table_BDD[Horodatage ouverture],Table_BDD[Date],Table_BDD[Date]))</f>
        <v>43874.763055555559</v>
      </c>
      <c r="AG118" s="32">
        <f>VLOOKUP(_xlfn.MAXIFS(Table_BDD[Horodatage cloture],Table_BDD[Date],Table_BDD[Date]),Table_BDD[[Horodatage ouverture]:[Heure derniere valeur]],AB$2)</f>
        <v>867.85</v>
      </c>
      <c r="AH118" s="32">
        <f>IF(VLOOKUP(_xlfn.MAXIFS(Table_BDD[Horodatage cloture],Table_BDD[Date],Table_BDD[Date]),Table_BDD[[Horodatage ouverture]:[Heure derniere valeur]],AB$2)=Table_BDD[[#This Row],[Equité après trade]],VLOOKUP(_xlfn.MAXIFS(Table_BDD[Horodatage cloture],Table_BDD[Date],Table_BDD[Date]),Table_BDD[[Horodatage ouverture]:[Heure derniere valeur]],AB$2),0)</f>
        <v>0</v>
      </c>
      <c r="AI118" s="32" t="e">
        <f>IF(Table_BDD[[#This Row],[Valeur fin de journée unique]]=0,#N/A,Table_BDD[[#This Row],[Valeur fin de journée unique]])</f>
        <v>#N/A</v>
      </c>
      <c r="AJ118" s="35">
        <f>IF(Table_BDD[[#This Row],[Position]]="","",(Table_BDD[[#This Row],[Equité après trade]]-Table_BDD[[#This Row],[Equité avant trade]])/Table_BDD[[#This Row],[Equité avant trade]])</f>
        <v>-5.3594845772279437E-3</v>
      </c>
      <c r="AK118" s="35" t="str">
        <f>IFERROR(((INDEX(Table_BDD[[Trade n°]:[Valeur fin de journée unique]],Table_BDD[[#This Row],[Nb de trade du jour]]+Table_BDD[[#This Row],[Trade n°]]-1,21))-Table_BDD[[#This Row],[Valeur début de journée unique]])/Table_BDD[[#This Row],[Valeur début de journée unique]],"")</f>
        <v/>
      </c>
      <c r="AL118" s="32">
        <f>IF(Table_BDD[[#This Row],[Position]]="","",MAX(Table_BDD[[#This Row],[Cumul équité]],AL117))</f>
        <v>1052.8399999999999</v>
      </c>
      <c r="AM118" s="32">
        <f>IF(Table_BDD[[#This Row],[Position]]="","",MIN(Table_BDD[[#This Row],[Cumul équité]],AL117))</f>
        <v>872.25</v>
      </c>
      <c r="AN118" s="97">
        <f>IF(Table_BDD[[#This Row],[Sommet Drawdown]]&gt;AL117,"",Table_BDD[[#This Row],[Creux Drawdown]]/Table_BDD[[#This Row],[Sommet Drawdown]]-1)</f>
        <v>-0.17152653774552629</v>
      </c>
      <c r="AO118" s="36">
        <f>IF(Table_BDD[[#This Row],[Position]]="","",IF(Table_BDD[[#This Row],[Type]]="buy",ROUND(Table_BDD[[#This Row],[Lvl Sortie]]-Table_BDD[[#This Row],[Lvl Entrée]],1),ROUND(Table_BDD[[#This Row],[Lvl Entrée]]-Table_BDD[[#This Row],[Lvl Sortie]],1)))</f>
        <v>-10.199999999999999</v>
      </c>
      <c r="AP118" s="36" t="str">
        <f>IF(Table_BDD[[#This Row],[Points]]&gt;0,Table_BDD[[#This Row],[Points]],"")</f>
        <v/>
      </c>
      <c r="AQ118" s="36">
        <f>IF(Table_BDD[[#This Row],[Points]]&lt;0,Table_BDD[[#This Row],[Points]],"")</f>
        <v>-10.199999999999999</v>
      </c>
      <c r="AR118" s="36">
        <f>SUM($AO$4:AO118)</f>
        <v>-278.09999999999997</v>
      </c>
      <c r="AS118" s="68">
        <f>IF(Table_BDD[[#This Row],[Position]]="","",IF(Table_BDD[[#This Row],[Conformité]]="Conforme",1,0))</f>
        <v>0</v>
      </c>
      <c r="AT118" s="68">
        <f>IF(Table_BDD[[#This Row],[Position]]="","",IF(Table_BDD[[#This Row],[Conformité]]="Non conforme",1,0))</f>
        <v>1</v>
      </c>
      <c r="AU118" s="37" t="s">
        <v>17</v>
      </c>
      <c r="AV118" s="37"/>
      <c r="AW118" s="37"/>
      <c r="AX118" s="37">
        <v>0</v>
      </c>
      <c r="AY118" s="37">
        <v>0</v>
      </c>
      <c r="AZ118" s="37">
        <v>0</v>
      </c>
      <c r="BA118" s="40" t="str">
        <f>IF(Table_BDD[[#This Row],[Position]]="","Sans objet",IF(AND(Table_BDD[[#This Row],[Type]]="sell",Table_BDD[[#This Row],[S / L]]&lt;Table_BDD[[#This Row],[Lvl Entrée]],Table_BDD[[#This Row],[Lvl Sortie]]&lt;=Table_BDD[[#This Row],[S / L]]+2,Table_BDD[[#This Row],[Lvl Sortie]]&lt;Table_BDD[[#This Row],[Lvl Entrée]]-19),"Oui",IF(AND(Table_BDD[[#This Row],[Type]]="buy",Table_BDD[[#This Row],[S / L]]&gt;Table_BDD[[#This Row],[Lvl Entrée]],Table_BDD[[#This Row],[Lvl Sortie]]&gt;=Table_BDD[[#This Row],[S / L]]-2,Table_BDD[[#This Row],[S / L]]&gt;Table_BDD[[#This Row],[Lvl Entrée]]+19),"Oui","Non")))</f>
        <v>Non</v>
      </c>
      <c r="BB118" s="40" t="str">
        <f>IF(Table_BDD[[#This Row],[Position]]="","Sans objet",IF(AND(Table_BDD[[#This Row],[Type]]="sell",Table_BDD[[#This Row],[S / L]]&lt;Table_BDD[[#This Row],[Lvl Entrée]],Table_BDD[[#This Row],[Points]]&gt;=-1),"Oui",IF(AND(Table_BDD[[#This Row],[Type]]="sell",Table_BDD[[#This Row],[S / L]]&gt;Table_BDD[[#This Row],[Lvl Entrée]]),"Non",IF(AND(Table_BDD[[#This Row],[Type]]="buy",Table_BDD[[#This Row],[S / L]]&lt;Table_BDD[[#This Row],[Lvl Entrée]]),"Non",IF(AND(Table_BDD[[#This Row],[Type]]="buy",Table_BDD[[#This Row],[S / L]]&gt;Table_BDD[[#This Row],[Lvl Entrée]],Table_BDD[[#This Row],[Points]]&gt;=-1),"Oui")))))</f>
        <v>Non</v>
      </c>
      <c r="BC118" s="40" t="str">
        <f>IF(Table_BDD[[#This Row],[Position]]="","Sans objet",IF(Table_BDD[[#This Row],[T / P]]="","Non",IF(AND(Table_BDD[[#This Row],[Type]]="sell",Table_BDD[[#This Row],[Lvl Sortie]]&lt;=Table_BDD[[#This Row],[T / P]]),"Oui",IF(AND(Table_BDD[[#This Row],[Type]]="buy",Table_BDD[[#This Row],[Lvl Sortie]]&gt;=Table_BDD[[#This Row],[T / P]]),"Oui","Non"))))</f>
        <v>Non</v>
      </c>
      <c r="BD118" s="91">
        <f t="array" ref="BD118">IFERROR(INDEX(downloadFile[#All],MATCH(Table_BDD[[#This Row],[Date]],downloadFile[[#All],[Column1]],0),2),BD117)</f>
        <v>1.0867</v>
      </c>
      <c r="BE118" s="89">
        <f>IF(Table_BDD[[#This Row],[Position]]="","",IF(Table_BDD[[#This Row],[Symbole]]="UsaInd",(Table_BDD[[#This Row],[Volume]]*Table_BDD[[#This Row],[Lvl Entrée]])/(Table_BDD[[#This Row],[Equité avant trade]]*Table_BDD[[#This Row],[EUR/USD]]),IF(Table_BDD[[#This Row],[Symbole]]="Ger30",(Table_BDD[[#This Row],[Volume]]*Table_BDD[[#This Row],[Lvl Entrée]])/Table_BDD[[#This Row],[Equité avant trade]],)))</f>
        <v>15.465545757960175</v>
      </c>
      <c r="BF118" s="38">
        <f>IF(Table_BDD[[#This Row],[Position]]="","",IF(Table_BDD[[#This Row],[Conformité]]="Non conforme",0,(MROUND(3*((Table_BDD[[#This Row],[Conviction]]+Table_BDD[[#This Row],[Timing]]+Table_BDD[[#This Row],[Sortie]])+1)-2,1))))</f>
        <v>0</v>
      </c>
      <c r="BG118" s="38" t="str">
        <f>IF(Table_BDD[[#This Row],[Position]]="","",IF(Table_BDD[[#This Row],[Points]]&lt;-5,"--",IF(AND(Table_BDD[[#This Row],[Points]]&gt;=-5,Table_BDD[[#This Row],[Points]]&lt;-1.5),"-",IF(AND(Table_BDD[[#This Row],[Points]]&gt;=-1.5,Table_BDD[[#This Row],[Points]]&lt;1.5),"0",IF(AND(Table_BDD[[#This Row],[Points]]&gt;=1.5,Table_BDD[[#This Row],[Points]]&lt;=70),"+",IF(Table_BDD[[#This Row],[Points]]&gt;70,"++"))))))</f>
        <v>--</v>
      </c>
      <c r="BH118" s="37" t="str">
        <f>IF(Table_BDD[[#This Row],[Position]]="","",IF(Table_BDD[[#This Row],[Points]]&gt;0,"Gagnant",IF(Table_BDD[[#This Row],[Points]]=0,"Flat","Perdant")))</f>
        <v>Perdant</v>
      </c>
      <c r="BI118" s="40">
        <f>IF(Table_BDD[[#This Row],[Position]]="","",IF(Table_BDD[[#This Row],[Résultat]]="Gagnant",1,0))</f>
        <v>0</v>
      </c>
      <c r="BJ118" s="40">
        <f>IF(Table_BDD[[#This Row],[Position]]="","",IF(Table_BDD[[#This Row],[Résultat]]="Perdant",1,0))</f>
        <v>1</v>
      </c>
      <c r="BK118" s="40"/>
      <c r="BL118" s="145">
        <f>IF(Table_BDD[[#This Row],[T / P]]="","",Table_BDD[[#This Row],[T / P]])</f>
        <v>28916.76</v>
      </c>
      <c r="BM118" s="147"/>
      <c r="BN118" s="147"/>
      <c r="BO118" s="147"/>
      <c r="BP118" s="147"/>
      <c r="BQ118" s="127"/>
    </row>
    <row r="119" spans="1:69" x14ac:dyDescent="0.2">
      <c r="A119" s="93">
        <v>43874.730983796297</v>
      </c>
      <c r="B119" s="94">
        <v>259920649</v>
      </c>
      <c r="C119" s="37" t="s">
        <v>8</v>
      </c>
      <c r="D119" s="37" t="s">
        <v>10</v>
      </c>
      <c r="E119" s="37">
        <v>0.5</v>
      </c>
      <c r="F119" s="95">
        <v>29486.79</v>
      </c>
      <c r="G119" s="95">
        <v>29496.79</v>
      </c>
      <c r="H119" s="95"/>
      <c r="I119" s="93">
        <v>43874.732835648145</v>
      </c>
      <c r="J119" s="95">
        <v>29496.95</v>
      </c>
      <c r="K119" s="95">
        <v>0</v>
      </c>
      <c r="L119" s="95">
        <v>0</v>
      </c>
      <c r="M119" s="32">
        <v>-4.68</v>
      </c>
      <c r="N119" s="148">
        <f>IF(Table_BDD[[#This Row],[Position]]="","",ROW()-3)</f>
        <v>116</v>
      </c>
      <c r="O119" s="32">
        <f>SUM($L$4:M119)</f>
        <v>-132.42999999999995</v>
      </c>
      <c r="P119" s="32">
        <f>Table_BDD[[#This Row],[Equité avant trade]]+Table_BDD[[#This Row],[Profit]]+Table_BDD[[#This Row],[Echange]]</f>
        <v>867.57</v>
      </c>
      <c r="Q119" s="52">
        <f>INT(Table_BDD[[#This Row],[Horodatage cloture]])</f>
        <v>43874</v>
      </c>
      <c r="R119" s="34">
        <f>WEEKNUM(Table_BDD[[#This Row],[Horodatage cloture]],2)</f>
        <v>7</v>
      </c>
      <c r="S119" s="61">
        <f>WEEKDAY(Table_BDD[[#This Row],[Horodatage cloture]])</f>
        <v>5</v>
      </c>
      <c r="T119" s="63">
        <f>HOUR(Table_BDD[[#This Row],[Horodatage cloture]])</f>
        <v>17</v>
      </c>
      <c r="U119" s="68">
        <f>IF(Table_BDD[[#This Row],[Position]]="","",IF(Table_BDD[[#This Row],[Valeur début de journée unique]]&lt;&gt;0,1,0))</f>
        <v>0</v>
      </c>
      <c r="V119" s="68" t="str">
        <f>IF(Table_BDD[[#This Row],[Nb de séance de trading]]=1,COUNTIF(Table_BDD[Date],Table_BDD[[#This Row],[Date]]),"")</f>
        <v/>
      </c>
      <c r="W119" s="33">
        <f>IF(Table_BDD[[#This Row],[Position]]="","",IF(Table_BDD[[#This Row],[Type]]="buy",ROUND(Table_BDD[[#This Row],[Lvl Entrée]]-Table_BDD[[#This Row],[S / L]],1),ROUND(Table_BDD[[#This Row],[S / L]]-Table_BDD[[#This Row],[Lvl Entrée]],1)))</f>
        <v>10</v>
      </c>
      <c r="X119" s="33">
        <f>IF(Table_BDD[[#This Row],[Position]]="","",IF(Table_BDD[[#This Row],[T / P]]=0,200,IF(Table_BDD[[#This Row],[Type]]="buy",ROUND(Table_BDD[[#This Row],[T / P]]-Table_BDD[[#This Row],[Lvl Entrée]],1),ROUND(Table_BDD[[#This Row],[Lvl Entrée]]-Table_BDD[[#This Row],[T / P]],1))))</f>
        <v>200</v>
      </c>
      <c r="Y119" s="34">
        <f>IF(Table_BDD[[#This Row],[Position]]="","",IF(Table_BDD[[#This Row],[Ecart du SL]]&gt;0,ROUND(ABS(Table_BDD[[#This Row],[Ecart du TP]])/ABS(Table_BDD[[#This Row],[Ecart du SL]]),1),ROUND(ABS(Table_BDD[[#This Row],[Ecart du TP]])/10,1)))</f>
        <v>20</v>
      </c>
      <c r="Z119" s="34">
        <f>IF(Table_BDD[[#This Row],[Position]]="","",IF(Table_BDD[[#This Row],[Ecart du SL]]&lt;0,IF(AND(Table_BDD[[#This Row],[Profit]]&gt;0,Table_BDD[[#This Row],[Type]]="sell"),ROUND((Table_BDD[[#This Row],[Lvl Entrée]]-Table_BDD[[#This Row],[Lvl Sortie]])/(10),1),IF(AND(Table_BDD[[#This Row],[Profit]]&gt;0,Table_BDD[[#This Row],[Type]]="buy"),ROUND((Table_BDD[[#This Row],[Lvl Sortie]]-Table_BDD[[#This Row],[Lvl Entrée]])/(10),1),)),IF(AND(Table_BDD[[#This Row],[Profit]]&gt;0,Table_BDD[[#This Row],[Type]]="sell"),ROUND((Table_BDD[[#This Row],[Lvl Entrée]]-Table_BDD[[#This Row],[Lvl Sortie]])/(Table_BDD[[#This Row],[S / L]]-Table_BDD[[#This Row],[Lvl Entrée]]),1),IF(AND(Table_BDD[[#This Row],[Profit]]&gt;0,Table_BDD[[#This Row],[Type]]="buy"),ROUND((Table_BDD[[#This Row],[Lvl Sortie]]-Table_BDD[[#This Row],[Lvl Entrée]])/(Table_BDD[[#This Row],[Lvl Entrée]]-Table_BDD[[#This Row],[S / L]]),1),ROUND(Table_BDD[[#This Row],[Points]]/10,1)))))</f>
        <v>-1</v>
      </c>
      <c r="AA119" s="32">
        <f>IF(Table_BDD[[#This Row],[Position]]="",AA118,Table_BDD[[#This Row],[Equité après trade]]-Table_BDD[[#This Row],[Profit]]-Table_BDD[[#This Row],[Echange]])</f>
        <v>872.25</v>
      </c>
      <c r="AB119" s="149">
        <f>$B$1+SUM($L$4:M119)</f>
        <v>867.57</v>
      </c>
      <c r="AC119" s="150">
        <f>IF(Table_BDD[[#This Row],[Position]]="","",_xlfn.MINIFS(Table_BDD[Horodatage ouverture],Table_BDD[Date],Table_BDD[Date]))</f>
        <v>43874.650868055556</v>
      </c>
      <c r="AD119" s="149">
        <f>VLOOKUP(_xlfn.MINIFS(Table_BDD[Horodatage ouverture],Table_BDD[Date],Table_BDD[Date]),Table_BDD[[Horodatage ouverture]:[Heure derniere valeur]],AA$2)</f>
        <v>920.68000000000006</v>
      </c>
      <c r="AE119" s="149">
        <f>IF(VLOOKUP(_xlfn.MINIFS(Table_BDD[Horodatage ouverture],Table_BDD[Date],Table_BDD[Date]),Table_BDD[[Horodatage ouverture]:[Heure derniere valeur]],AA$2)=Table_BDD[[#This Row],[Equité avant trade]],VLOOKUP(_xlfn.MINIFS(Table_BDD[Horodatage ouverture],Table_BDD[Date],Table_BDD[Date]),Table_BDD[[Horodatage ouverture]:[Heure derniere valeur]],AA$2),0)</f>
        <v>0</v>
      </c>
      <c r="AF119" s="150">
        <f>IF(Table_BDD[[#This Row],[Position]]="","",_xlfn.MAXIFS(Table_BDD[Horodatage ouverture],Table_BDD[Date],Table_BDD[Date]))</f>
        <v>43874.763055555559</v>
      </c>
      <c r="AG119" s="32">
        <f>VLOOKUP(_xlfn.MAXIFS(Table_BDD[Horodatage cloture],Table_BDD[Date],Table_BDD[Date]),Table_BDD[[Horodatage ouverture]:[Heure derniere valeur]],AB$2)</f>
        <v>867.85</v>
      </c>
      <c r="AH119" s="32">
        <f>IF(VLOOKUP(_xlfn.MAXIFS(Table_BDD[Horodatage cloture],Table_BDD[Date],Table_BDD[Date]),Table_BDD[[Horodatage ouverture]:[Heure derniere valeur]],AB$2)=Table_BDD[[#This Row],[Equité après trade]],VLOOKUP(_xlfn.MAXIFS(Table_BDD[Horodatage cloture],Table_BDD[Date],Table_BDD[Date]),Table_BDD[[Horodatage ouverture]:[Heure derniere valeur]],AB$2),0)</f>
        <v>0</v>
      </c>
      <c r="AI119" s="32" t="e">
        <f>IF(Table_BDD[[#This Row],[Valeur fin de journée unique]]=0,#N/A,Table_BDD[[#This Row],[Valeur fin de journée unique]])</f>
        <v>#N/A</v>
      </c>
      <c r="AJ119" s="35">
        <f>IF(Table_BDD[[#This Row],[Position]]="","",(Table_BDD[[#This Row],[Equité après trade]]-Table_BDD[[#This Row],[Equité avant trade]])/Table_BDD[[#This Row],[Equité avant trade]])</f>
        <v>-5.3654342218400113E-3</v>
      </c>
      <c r="AK119" s="35" t="str">
        <f>IFERROR(((INDEX(Table_BDD[[Trade n°]:[Valeur fin de journée unique]],Table_BDD[[#This Row],[Nb de trade du jour]]+Table_BDD[[#This Row],[Trade n°]]-1,21))-Table_BDD[[#This Row],[Valeur début de journée unique]])/Table_BDD[[#This Row],[Valeur début de journée unique]],"")</f>
        <v/>
      </c>
      <c r="AL119" s="32">
        <f>IF(Table_BDD[[#This Row],[Position]]="","",MAX(Table_BDD[[#This Row],[Cumul équité]],AL118))</f>
        <v>1052.8399999999999</v>
      </c>
      <c r="AM119" s="32">
        <f>IF(Table_BDD[[#This Row],[Position]]="","",MIN(Table_BDD[[#This Row],[Cumul équité]],AL118))</f>
        <v>867.57</v>
      </c>
      <c r="AN119" s="97">
        <f>IF(Table_BDD[[#This Row],[Sommet Drawdown]]&gt;AL118,"",Table_BDD[[#This Row],[Creux Drawdown]]/Table_BDD[[#This Row],[Sommet Drawdown]]-1)</f>
        <v>-0.17597165761179279</v>
      </c>
      <c r="AO119" s="36">
        <f>IF(Table_BDD[[#This Row],[Position]]="","",IF(Table_BDD[[#This Row],[Type]]="buy",ROUND(Table_BDD[[#This Row],[Lvl Sortie]]-Table_BDD[[#This Row],[Lvl Entrée]],1),ROUND(Table_BDD[[#This Row],[Lvl Entrée]]-Table_BDD[[#This Row],[Lvl Sortie]],1)))</f>
        <v>-10.199999999999999</v>
      </c>
      <c r="AP119" s="36" t="str">
        <f>IF(Table_BDD[[#This Row],[Points]]&gt;0,Table_BDD[[#This Row],[Points]],"")</f>
        <v/>
      </c>
      <c r="AQ119" s="36">
        <f>IF(Table_BDD[[#This Row],[Points]]&lt;0,Table_BDD[[#This Row],[Points]],"")</f>
        <v>-10.199999999999999</v>
      </c>
      <c r="AR119" s="36">
        <f>SUM($AO$4:AO119)</f>
        <v>-288.29999999999995</v>
      </c>
      <c r="AS119" s="68">
        <f>IF(Table_BDD[[#This Row],[Position]]="","",IF(Table_BDD[[#This Row],[Conformité]]="Conforme",1,0))</f>
        <v>0</v>
      </c>
      <c r="AT119" s="68">
        <f>IF(Table_BDD[[#This Row],[Position]]="","",IF(Table_BDD[[#This Row],[Conformité]]="Non conforme",1,0))</f>
        <v>1</v>
      </c>
      <c r="AU119" s="37" t="s">
        <v>17</v>
      </c>
      <c r="AV119" s="37"/>
      <c r="AW119" s="37"/>
      <c r="AX119" s="37">
        <v>0</v>
      </c>
      <c r="AY119" s="37">
        <v>0</v>
      </c>
      <c r="AZ119" s="37">
        <v>0</v>
      </c>
      <c r="BA119" s="40" t="str">
        <f>IF(Table_BDD[[#This Row],[Position]]="","Sans objet",IF(AND(Table_BDD[[#This Row],[Type]]="sell",Table_BDD[[#This Row],[S / L]]&lt;Table_BDD[[#This Row],[Lvl Entrée]],Table_BDD[[#This Row],[Lvl Sortie]]&lt;=Table_BDD[[#This Row],[S / L]]+2,Table_BDD[[#This Row],[Lvl Sortie]]&lt;Table_BDD[[#This Row],[Lvl Entrée]]-19),"Oui",IF(AND(Table_BDD[[#This Row],[Type]]="buy",Table_BDD[[#This Row],[S / L]]&gt;Table_BDD[[#This Row],[Lvl Entrée]],Table_BDD[[#This Row],[Lvl Sortie]]&gt;=Table_BDD[[#This Row],[S / L]]-2,Table_BDD[[#This Row],[S / L]]&gt;Table_BDD[[#This Row],[Lvl Entrée]]+19),"Oui","Non")))</f>
        <v>Non</v>
      </c>
      <c r="BB119" s="40" t="str">
        <f>IF(Table_BDD[[#This Row],[Position]]="","Sans objet",IF(AND(Table_BDD[[#This Row],[Type]]="sell",Table_BDD[[#This Row],[S / L]]&lt;Table_BDD[[#This Row],[Lvl Entrée]],Table_BDD[[#This Row],[Points]]&gt;=-1),"Oui",IF(AND(Table_BDD[[#This Row],[Type]]="sell",Table_BDD[[#This Row],[S / L]]&gt;Table_BDD[[#This Row],[Lvl Entrée]]),"Non",IF(AND(Table_BDD[[#This Row],[Type]]="buy",Table_BDD[[#This Row],[S / L]]&lt;Table_BDD[[#This Row],[Lvl Entrée]]),"Non",IF(AND(Table_BDD[[#This Row],[Type]]="buy",Table_BDD[[#This Row],[S / L]]&gt;Table_BDD[[#This Row],[Lvl Entrée]],Table_BDD[[#This Row],[Points]]&gt;=-1),"Oui")))))</f>
        <v>Non</v>
      </c>
      <c r="BC119" s="40" t="str">
        <f>IF(Table_BDD[[#This Row],[Position]]="","Sans objet",IF(Table_BDD[[#This Row],[T / P]]="","Non",IF(AND(Table_BDD[[#This Row],[Type]]="sell",Table_BDD[[#This Row],[Lvl Sortie]]&lt;=Table_BDD[[#This Row],[T / P]]),"Oui",IF(AND(Table_BDD[[#This Row],[Type]]="buy",Table_BDD[[#This Row],[Lvl Sortie]]&gt;=Table_BDD[[#This Row],[T / P]]),"Oui","Non"))))</f>
        <v>Non</v>
      </c>
      <c r="BD119" s="91">
        <f t="array" ref="BD119">IFERROR(INDEX(downloadFile[#All],MATCH(Table_BDD[[#This Row],[Date]],downloadFile[[#All],[Column1]],0),2),BD118)</f>
        <v>1.0867</v>
      </c>
      <c r="BE119" s="89">
        <f>IF(Table_BDD[[#This Row],[Position]]="","",IF(Table_BDD[[#This Row],[Symbole]]="UsaInd",(Table_BDD[[#This Row],[Volume]]*Table_BDD[[#This Row],[Lvl Entrée]])/(Table_BDD[[#This Row],[Equité avant trade]]*Table_BDD[[#This Row],[EUR/USD]]),IF(Table_BDD[[#This Row],[Symbole]]="Ger30",(Table_BDD[[#This Row],[Volume]]*Table_BDD[[#This Row],[Lvl Entrée]])/Table_BDD[[#This Row],[Equité avant trade]],)))</f>
        <v>15.554170526290637</v>
      </c>
      <c r="BF119" s="38">
        <f>IF(Table_BDD[[#This Row],[Position]]="","",IF(Table_BDD[[#This Row],[Conformité]]="Non conforme",0,(MROUND(3*((Table_BDD[[#This Row],[Conviction]]+Table_BDD[[#This Row],[Timing]]+Table_BDD[[#This Row],[Sortie]])+1)-2,1))))</f>
        <v>0</v>
      </c>
      <c r="BG119" s="38" t="str">
        <f>IF(Table_BDD[[#This Row],[Position]]="","",IF(Table_BDD[[#This Row],[Points]]&lt;-5,"--",IF(AND(Table_BDD[[#This Row],[Points]]&gt;=-5,Table_BDD[[#This Row],[Points]]&lt;-1.5),"-",IF(AND(Table_BDD[[#This Row],[Points]]&gt;=-1.5,Table_BDD[[#This Row],[Points]]&lt;1.5),"0",IF(AND(Table_BDD[[#This Row],[Points]]&gt;=1.5,Table_BDD[[#This Row],[Points]]&lt;=70),"+",IF(Table_BDD[[#This Row],[Points]]&gt;70,"++"))))))</f>
        <v>--</v>
      </c>
      <c r="BH119" s="37" t="str">
        <f>IF(Table_BDD[[#This Row],[Position]]="","",IF(Table_BDD[[#This Row],[Points]]&gt;0,"Gagnant",IF(Table_BDD[[#This Row],[Points]]=0,"Flat","Perdant")))</f>
        <v>Perdant</v>
      </c>
      <c r="BI119" s="40">
        <f>IF(Table_BDD[[#This Row],[Position]]="","",IF(Table_BDD[[#This Row],[Résultat]]="Gagnant",1,0))</f>
        <v>0</v>
      </c>
      <c r="BJ119" s="40">
        <f>IF(Table_BDD[[#This Row],[Position]]="","",IF(Table_BDD[[#This Row],[Résultat]]="Perdant",1,0))</f>
        <v>1</v>
      </c>
      <c r="BK119" s="40"/>
      <c r="BL119" s="145" t="str">
        <f>IF(Table_BDD[[#This Row],[T / P]]="","",Table_BDD[[#This Row],[T / P]])</f>
        <v/>
      </c>
      <c r="BM119" s="147"/>
      <c r="BN119" s="147"/>
      <c r="BO119" s="147"/>
      <c r="BP119" s="147"/>
      <c r="BQ119" s="127"/>
    </row>
    <row r="120" spans="1:69" x14ac:dyDescent="0.2">
      <c r="A120" s="93">
        <v>43874.763055555559</v>
      </c>
      <c r="B120" s="94">
        <v>259920669</v>
      </c>
      <c r="C120" s="37" t="s">
        <v>8</v>
      </c>
      <c r="D120" s="37" t="s">
        <v>10</v>
      </c>
      <c r="E120" s="37">
        <v>0.5</v>
      </c>
      <c r="F120" s="95">
        <v>29524.81</v>
      </c>
      <c r="G120" s="95">
        <v>29523.31</v>
      </c>
      <c r="H120" s="95"/>
      <c r="I120" s="93">
        <v>43874.836064814815</v>
      </c>
      <c r="J120" s="95">
        <v>29524.22</v>
      </c>
      <c r="K120" s="95">
        <v>0</v>
      </c>
      <c r="L120" s="95">
        <v>0</v>
      </c>
      <c r="M120" s="32">
        <v>0.28000000000000003</v>
      </c>
      <c r="N120" s="148">
        <f>IF(Table_BDD[[#This Row],[Position]]="","",ROW()-3)</f>
        <v>117</v>
      </c>
      <c r="O120" s="32">
        <f>SUM($L$4:M120)</f>
        <v>-132.14999999999995</v>
      </c>
      <c r="P120" s="32">
        <f>Table_BDD[[#This Row],[Equité avant trade]]+Table_BDD[[#This Row],[Profit]]+Table_BDD[[#This Row],[Echange]]</f>
        <v>867.85</v>
      </c>
      <c r="Q120" s="52">
        <f>INT(Table_BDD[[#This Row],[Horodatage cloture]])</f>
        <v>43874</v>
      </c>
      <c r="R120" s="34">
        <f>WEEKNUM(Table_BDD[[#This Row],[Horodatage cloture]],2)</f>
        <v>7</v>
      </c>
      <c r="S120" s="61">
        <f>WEEKDAY(Table_BDD[[#This Row],[Horodatage cloture]])</f>
        <v>5</v>
      </c>
      <c r="T120" s="63">
        <f>HOUR(Table_BDD[[#This Row],[Horodatage cloture]])</f>
        <v>20</v>
      </c>
      <c r="U120" s="68">
        <f>IF(Table_BDD[[#This Row],[Position]]="","",IF(Table_BDD[[#This Row],[Valeur début de journée unique]]&lt;&gt;0,1,0))</f>
        <v>0</v>
      </c>
      <c r="V120" s="68" t="str">
        <f>IF(Table_BDD[[#This Row],[Nb de séance de trading]]=1,COUNTIF(Table_BDD[Date],Table_BDD[[#This Row],[Date]]),"")</f>
        <v/>
      </c>
      <c r="W120" s="33">
        <f>IF(Table_BDD[[#This Row],[Position]]="","",IF(Table_BDD[[#This Row],[Type]]="buy",ROUND(Table_BDD[[#This Row],[Lvl Entrée]]-Table_BDD[[#This Row],[S / L]],1),ROUND(Table_BDD[[#This Row],[S / L]]-Table_BDD[[#This Row],[Lvl Entrée]],1)))</f>
        <v>-1.5</v>
      </c>
      <c r="X120" s="33">
        <f>IF(Table_BDD[[#This Row],[Position]]="","",IF(Table_BDD[[#This Row],[T / P]]=0,200,IF(Table_BDD[[#This Row],[Type]]="buy",ROUND(Table_BDD[[#This Row],[T / P]]-Table_BDD[[#This Row],[Lvl Entrée]],1),ROUND(Table_BDD[[#This Row],[Lvl Entrée]]-Table_BDD[[#This Row],[T / P]],1))))</f>
        <v>200</v>
      </c>
      <c r="Y120" s="34">
        <f>IF(Table_BDD[[#This Row],[Position]]="","",IF(Table_BDD[[#This Row],[Ecart du SL]]&gt;0,ROUND(ABS(Table_BDD[[#This Row],[Ecart du TP]])/ABS(Table_BDD[[#This Row],[Ecart du SL]]),1),ROUND(ABS(Table_BDD[[#This Row],[Ecart du TP]])/10,1)))</f>
        <v>20</v>
      </c>
      <c r="Z120" s="34">
        <f>IF(Table_BDD[[#This Row],[Position]]="","",IF(Table_BDD[[#This Row],[Ecart du SL]]&lt;0,IF(AND(Table_BDD[[#This Row],[Profit]]&gt;0,Table_BDD[[#This Row],[Type]]="sell"),ROUND((Table_BDD[[#This Row],[Lvl Entrée]]-Table_BDD[[#This Row],[Lvl Sortie]])/(10),1),IF(AND(Table_BDD[[#This Row],[Profit]]&gt;0,Table_BDD[[#This Row],[Type]]="buy"),ROUND((Table_BDD[[#This Row],[Lvl Sortie]]-Table_BDD[[#This Row],[Lvl Entrée]])/(10),1),)),IF(AND(Table_BDD[[#This Row],[Profit]]&gt;0,Table_BDD[[#This Row],[Type]]="sell"),ROUND((Table_BDD[[#This Row],[Lvl Entrée]]-Table_BDD[[#This Row],[Lvl Sortie]])/(Table_BDD[[#This Row],[S / L]]-Table_BDD[[#This Row],[Lvl Entrée]]),1),IF(AND(Table_BDD[[#This Row],[Profit]]&gt;0,Table_BDD[[#This Row],[Type]]="buy"),ROUND((Table_BDD[[#This Row],[Lvl Sortie]]-Table_BDD[[#This Row],[Lvl Entrée]])/(Table_BDD[[#This Row],[Lvl Entrée]]-Table_BDD[[#This Row],[S / L]]),1),ROUND(Table_BDD[[#This Row],[Points]]/10,1)))))</f>
        <v>0.1</v>
      </c>
      <c r="AA120" s="32">
        <f>IF(Table_BDD[[#This Row],[Position]]="",AA119,Table_BDD[[#This Row],[Equité après trade]]-Table_BDD[[#This Row],[Profit]]-Table_BDD[[#This Row],[Echange]])</f>
        <v>867.57</v>
      </c>
      <c r="AB120" s="149">
        <f>$B$1+SUM($L$4:M120)</f>
        <v>867.85</v>
      </c>
      <c r="AC120" s="150">
        <f>IF(Table_BDD[[#This Row],[Position]]="","",_xlfn.MINIFS(Table_BDD[Horodatage ouverture],Table_BDD[Date],Table_BDD[Date]))</f>
        <v>43874.650868055556</v>
      </c>
      <c r="AD120" s="149">
        <f>VLOOKUP(_xlfn.MINIFS(Table_BDD[Horodatage ouverture],Table_BDD[Date],Table_BDD[Date]),Table_BDD[[Horodatage ouverture]:[Heure derniere valeur]],AA$2)</f>
        <v>920.68000000000006</v>
      </c>
      <c r="AE120" s="149">
        <f>IF(VLOOKUP(_xlfn.MINIFS(Table_BDD[Horodatage ouverture],Table_BDD[Date],Table_BDD[Date]),Table_BDD[[Horodatage ouverture]:[Heure derniere valeur]],AA$2)=Table_BDD[[#This Row],[Equité avant trade]],VLOOKUP(_xlfn.MINIFS(Table_BDD[Horodatage ouverture],Table_BDD[Date],Table_BDD[Date]),Table_BDD[[Horodatage ouverture]:[Heure derniere valeur]],AA$2),0)</f>
        <v>0</v>
      </c>
      <c r="AF120" s="150">
        <f>IF(Table_BDD[[#This Row],[Position]]="","",_xlfn.MAXIFS(Table_BDD[Horodatage ouverture],Table_BDD[Date],Table_BDD[Date]))</f>
        <v>43874.763055555559</v>
      </c>
      <c r="AG120" s="32">
        <f>VLOOKUP(_xlfn.MAXIFS(Table_BDD[Horodatage cloture],Table_BDD[Date],Table_BDD[Date]),Table_BDD[[Horodatage ouverture]:[Heure derniere valeur]],AB$2)</f>
        <v>867.85</v>
      </c>
      <c r="AH120" s="32">
        <f>IF(VLOOKUP(_xlfn.MAXIFS(Table_BDD[Horodatage cloture],Table_BDD[Date],Table_BDD[Date]),Table_BDD[[Horodatage ouverture]:[Heure derniere valeur]],AB$2)=Table_BDD[[#This Row],[Equité après trade]],VLOOKUP(_xlfn.MAXIFS(Table_BDD[Horodatage cloture],Table_BDD[Date],Table_BDD[Date]),Table_BDD[[Horodatage ouverture]:[Heure derniere valeur]],AB$2),0)</f>
        <v>867.85</v>
      </c>
      <c r="AI120" s="32">
        <f>IF(Table_BDD[[#This Row],[Valeur fin de journée unique]]=0,#N/A,Table_BDD[[#This Row],[Valeur fin de journée unique]])</f>
        <v>867.85</v>
      </c>
      <c r="AJ120" s="35">
        <f>IF(Table_BDD[[#This Row],[Position]]="","",(Table_BDD[[#This Row],[Equité après trade]]-Table_BDD[[#This Row],[Equité avant trade]])/Table_BDD[[#This Row],[Equité avant trade]])</f>
        <v>3.2274052814178992E-4</v>
      </c>
      <c r="AK120" s="35" t="str">
        <f>IFERROR(((INDEX(Table_BDD[[Trade n°]:[Valeur fin de journée unique]],Table_BDD[[#This Row],[Nb de trade du jour]]+Table_BDD[[#This Row],[Trade n°]]-1,21))-Table_BDD[[#This Row],[Valeur début de journée unique]])/Table_BDD[[#This Row],[Valeur début de journée unique]],"")</f>
        <v/>
      </c>
      <c r="AL120" s="32">
        <f>IF(Table_BDD[[#This Row],[Position]]="","",MAX(Table_BDD[[#This Row],[Cumul équité]],AL119))</f>
        <v>1052.8399999999999</v>
      </c>
      <c r="AM120" s="32">
        <f>IF(Table_BDD[[#This Row],[Position]]="","",MIN(Table_BDD[[#This Row],[Cumul équité]],AL119))</f>
        <v>867.85</v>
      </c>
      <c r="AN120" s="97">
        <f>IF(Table_BDD[[#This Row],[Sommet Drawdown]]&gt;AL119,"",Table_BDD[[#This Row],[Creux Drawdown]]/Table_BDD[[#This Row],[Sommet Drawdown]]-1)</f>
        <v>-0.17570571026936654</v>
      </c>
      <c r="AO120" s="36">
        <f>IF(Table_BDD[[#This Row],[Position]]="","",IF(Table_BDD[[#This Row],[Type]]="buy",ROUND(Table_BDD[[#This Row],[Lvl Sortie]]-Table_BDD[[#This Row],[Lvl Entrée]],1),ROUND(Table_BDD[[#This Row],[Lvl Entrée]]-Table_BDD[[#This Row],[Lvl Sortie]],1)))</f>
        <v>0.6</v>
      </c>
      <c r="AP120" s="36">
        <f>IF(Table_BDD[[#This Row],[Points]]&gt;0,Table_BDD[[#This Row],[Points]],"")</f>
        <v>0.6</v>
      </c>
      <c r="AQ120" s="36" t="str">
        <f>IF(Table_BDD[[#This Row],[Points]]&lt;0,Table_BDD[[#This Row],[Points]],"")</f>
        <v/>
      </c>
      <c r="AR120" s="36">
        <f>SUM($AO$4:AO120)</f>
        <v>-287.69999999999993</v>
      </c>
      <c r="AS120" s="68">
        <f>IF(Table_BDD[[#This Row],[Position]]="","",IF(Table_BDD[[#This Row],[Conformité]]="Conforme",1,0))</f>
        <v>0</v>
      </c>
      <c r="AT120" s="68">
        <f>IF(Table_BDD[[#This Row],[Position]]="","",IF(Table_BDD[[#This Row],[Conformité]]="Non conforme",1,0))</f>
        <v>1</v>
      </c>
      <c r="AU120" s="37" t="s">
        <v>17</v>
      </c>
      <c r="AV120" s="37"/>
      <c r="AW120" s="37"/>
      <c r="AX120" s="37">
        <v>0</v>
      </c>
      <c r="AY120" s="37">
        <v>0</v>
      </c>
      <c r="AZ120" s="37">
        <v>0</v>
      </c>
      <c r="BA120" s="40" t="str">
        <f>IF(Table_BDD[[#This Row],[Position]]="","Sans objet",IF(AND(Table_BDD[[#This Row],[Type]]="sell",Table_BDD[[#This Row],[S / L]]&lt;Table_BDD[[#This Row],[Lvl Entrée]],Table_BDD[[#This Row],[Lvl Sortie]]&lt;=Table_BDD[[#This Row],[S / L]]+2,Table_BDD[[#This Row],[Lvl Sortie]]&lt;Table_BDD[[#This Row],[Lvl Entrée]]-19),"Oui",IF(AND(Table_BDD[[#This Row],[Type]]="buy",Table_BDD[[#This Row],[S / L]]&gt;Table_BDD[[#This Row],[Lvl Entrée]],Table_BDD[[#This Row],[Lvl Sortie]]&gt;=Table_BDD[[#This Row],[S / L]]-2,Table_BDD[[#This Row],[S / L]]&gt;Table_BDD[[#This Row],[Lvl Entrée]]+19),"Oui","Non")))</f>
        <v>Non</v>
      </c>
      <c r="BB120" s="40" t="str">
        <f>IF(Table_BDD[[#This Row],[Position]]="","Sans objet",IF(AND(Table_BDD[[#This Row],[Type]]="sell",Table_BDD[[#This Row],[S / L]]&lt;Table_BDD[[#This Row],[Lvl Entrée]],Table_BDD[[#This Row],[Points]]&gt;=-1),"Oui",IF(AND(Table_BDD[[#This Row],[Type]]="sell",Table_BDD[[#This Row],[S / L]]&gt;Table_BDD[[#This Row],[Lvl Entrée]]),"Non",IF(AND(Table_BDD[[#This Row],[Type]]="buy",Table_BDD[[#This Row],[S / L]]&lt;Table_BDD[[#This Row],[Lvl Entrée]]),"Non",IF(AND(Table_BDD[[#This Row],[Type]]="buy",Table_BDD[[#This Row],[S / L]]&gt;Table_BDD[[#This Row],[Lvl Entrée]],Table_BDD[[#This Row],[Points]]&gt;=-1),"Oui")))))</f>
        <v>Oui</v>
      </c>
      <c r="BC120" s="40" t="str">
        <f>IF(Table_BDD[[#This Row],[Position]]="","Sans objet",IF(Table_BDD[[#This Row],[T / P]]="","Non",IF(AND(Table_BDD[[#This Row],[Type]]="sell",Table_BDD[[#This Row],[Lvl Sortie]]&lt;=Table_BDD[[#This Row],[T / P]]),"Oui",IF(AND(Table_BDD[[#This Row],[Type]]="buy",Table_BDD[[#This Row],[Lvl Sortie]]&gt;=Table_BDD[[#This Row],[T / P]]),"Oui","Non"))))</f>
        <v>Non</v>
      </c>
      <c r="BD120" s="91">
        <f t="array" ref="BD120">IFERROR(INDEX(downloadFile[#All],MATCH(Table_BDD[[#This Row],[Date]],downloadFile[[#All],[Column1]],0),2),BD119)</f>
        <v>1.0867</v>
      </c>
      <c r="BE120" s="89">
        <f>IF(Table_BDD[[#This Row],[Position]]="","",IF(Table_BDD[[#This Row],[Symbole]]="UsaInd",(Table_BDD[[#This Row],[Volume]]*Table_BDD[[#This Row],[Lvl Entrée]])/(Table_BDD[[#This Row],[Equité avant trade]]*Table_BDD[[#This Row],[EUR/USD]]),IF(Table_BDD[[#This Row],[Symbole]]="Ger30",(Table_BDD[[#This Row],[Volume]]*Table_BDD[[#This Row],[Lvl Entrée]])/Table_BDD[[#This Row],[Equité avant trade]],)))</f>
        <v>15.658239185290544</v>
      </c>
      <c r="BF120" s="38">
        <f>IF(Table_BDD[[#This Row],[Position]]="","",IF(Table_BDD[[#This Row],[Conformité]]="Non conforme",0,(MROUND(3*((Table_BDD[[#This Row],[Conviction]]+Table_BDD[[#This Row],[Timing]]+Table_BDD[[#This Row],[Sortie]])+1)-2,1))))</f>
        <v>0</v>
      </c>
      <c r="BG120" s="38" t="str">
        <f>IF(Table_BDD[[#This Row],[Position]]="","",IF(Table_BDD[[#This Row],[Points]]&lt;-5,"--",IF(AND(Table_BDD[[#This Row],[Points]]&gt;=-5,Table_BDD[[#This Row],[Points]]&lt;-1.5),"-",IF(AND(Table_BDD[[#This Row],[Points]]&gt;=-1.5,Table_BDD[[#This Row],[Points]]&lt;1.5),"0",IF(AND(Table_BDD[[#This Row],[Points]]&gt;=1.5,Table_BDD[[#This Row],[Points]]&lt;=70),"+",IF(Table_BDD[[#This Row],[Points]]&gt;70,"++"))))))</f>
        <v>0</v>
      </c>
      <c r="BH120" s="37" t="str">
        <f>IF(Table_BDD[[#This Row],[Position]]="","",IF(Table_BDD[[#This Row],[Points]]&gt;0,"Gagnant",IF(Table_BDD[[#This Row],[Points]]=0,"Flat","Perdant")))</f>
        <v>Gagnant</v>
      </c>
      <c r="BI120" s="40">
        <f>IF(Table_BDD[[#This Row],[Position]]="","",IF(Table_BDD[[#This Row],[Résultat]]="Gagnant",1,0))</f>
        <v>1</v>
      </c>
      <c r="BJ120" s="40">
        <f>IF(Table_BDD[[#This Row],[Position]]="","",IF(Table_BDD[[#This Row],[Résultat]]="Perdant",1,0))</f>
        <v>0</v>
      </c>
      <c r="BK120" s="40"/>
      <c r="BL120" s="145" t="str">
        <f>IF(Table_BDD[[#This Row],[T / P]]="","",Table_BDD[[#This Row],[T / P]])</f>
        <v/>
      </c>
      <c r="BM120" s="147"/>
      <c r="BN120" s="147"/>
      <c r="BO120" s="147"/>
      <c r="BP120" s="147"/>
      <c r="BQ120" s="127"/>
    </row>
    <row r="121" spans="1:69" x14ac:dyDescent="0.2">
      <c r="A121" s="93">
        <v>43875.390983796293</v>
      </c>
      <c r="B121" s="94">
        <v>259948472</v>
      </c>
      <c r="C121" s="37" t="s">
        <v>8</v>
      </c>
      <c r="D121" s="37" t="s">
        <v>9</v>
      </c>
      <c r="E121" s="37">
        <v>0.5</v>
      </c>
      <c r="F121" s="95">
        <v>29466.15</v>
      </c>
      <c r="G121" s="95">
        <v>29460.97</v>
      </c>
      <c r="H121" s="95">
        <v>29526.15</v>
      </c>
      <c r="I121" s="93">
        <v>43875.415486111109</v>
      </c>
      <c r="J121" s="95">
        <v>29460.02</v>
      </c>
      <c r="K121" s="95">
        <v>0</v>
      </c>
      <c r="L121" s="95">
        <v>0</v>
      </c>
      <c r="M121" s="32">
        <v>-2.83</v>
      </c>
      <c r="N121" s="148">
        <f>IF(Table_BDD[[#This Row],[Position]]="","",ROW()-3)</f>
        <v>118</v>
      </c>
      <c r="O121" s="32">
        <f>SUM($L$4:M121)</f>
        <v>-134.97999999999996</v>
      </c>
      <c r="P121" s="32">
        <f>Table_BDD[[#This Row],[Equité avant trade]]+Table_BDD[[#This Row],[Profit]]+Table_BDD[[#This Row],[Echange]]</f>
        <v>865.02</v>
      </c>
      <c r="Q121" s="52">
        <f>INT(Table_BDD[[#This Row],[Horodatage cloture]])</f>
        <v>43875</v>
      </c>
      <c r="R121" s="34">
        <f>WEEKNUM(Table_BDD[[#This Row],[Horodatage cloture]],2)</f>
        <v>7</v>
      </c>
      <c r="S121" s="61">
        <f>WEEKDAY(Table_BDD[[#This Row],[Horodatage cloture]])</f>
        <v>6</v>
      </c>
      <c r="T121" s="63">
        <f>HOUR(Table_BDD[[#This Row],[Horodatage cloture]])</f>
        <v>9</v>
      </c>
      <c r="U121" s="68">
        <f>IF(Table_BDD[[#This Row],[Position]]="","",IF(Table_BDD[[#This Row],[Valeur début de journée unique]]&lt;&gt;0,1,0))</f>
        <v>1</v>
      </c>
      <c r="V121" s="68">
        <f>IF(Table_BDD[[#This Row],[Nb de séance de trading]]=1,COUNTIF(Table_BDD[Date],Table_BDD[[#This Row],[Date]]),"")</f>
        <v>26</v>
      </c>
      <c r="W121" s="33">
        <f>IF(Table_BDD[[#This Row],[Position]]="","",IF(Table_BDD[[#This Row],[Type]]="buy",ROUND(Table_BDD[[#This Row],[Lvl Entrée]]-Table_BDD[[#This Row],[S / L]],1),ROUND(Table_BDD[[#This Row],[S / L]]-Table_BDD[[#This Row],[Lvl Entrée]],1)))</f>
        <v>5.2</v>
      </c>
      <c r="X121" s="33">
        <f>IF(Table_BDD[[#This Row],[Position]]="","",IF(Table_BDD[[#This Row],[T / P]]=0,200,IF(Table_BDD[[#This Row],[Type]]="buy",ROUND(Table_BDD[[#This Row],[T / P]]-Table_BDD[[#This Row],[Lvl Entrée]],1),ROUND(Table_BDD[[#This Row],[Lvl Entrée]]-Table_BDD[[#This Row],[T / P]],1))))</f>
        <v>60</v>
      </c>
      <c r="Y121" s="34">
        <f>IF(Table_BDD[[#This Row],[Position]]="","",IF(Table_BDD[[#This Row],[Ecart du SL]]&gt;0,ROUND(ABS(Table_BDD[[#This Row],[Ecart du TP]])/ABS(Table_BDD[[#This Row],[Ecart du SL]]),1),ROUND(ABS(Table_BDD[[#This Row],[Ecart du TP]])/10,1)))</f>
        <v>11.5</v>
      </c>
      <c r="Z121" s="34">
        <f>IF(Table_BDD[[#This Row],[Position]]="","",IF(Table_BDD[[#This Row],[Ecart du SL]]&lt;0,IF(AND(Table_BDD[[#This Row],[Profit]]&gt;0,Table_BDD[[#This Row],[Type]]="sell"),ROUND((Table_BDD[[#This Row],[Lvl Entrée]]-Table_BDD[[#This Row],[Lvl Sortie]])/(10),1),IF(AND(Table_BDD[[#This Row],[Profit]]&gt;0,Table_BDD[[#This Row],[Type]]="buy"),ROUND((Table_BDD[[#This Row],[Lvl Sortie]]-Table_BDD[[#This Row],[Lvl Entrée]])/(10),1),)),IF(AND(Table_BDD[[#This Row],[Profit]]&gt;0,Table_BDD[[#This Row],[Type]]="sell"),ROUND((Table_BDD[[#This Row],[Lvl Entrée]]-Table_BDD[[#This Row],[Lvl Sortie]])/(Table_BDD[[#This Row],[S / L]]-Table_BDD[[#This Row],[Lvl Entrée]]),1),IF(AND(Table_BDD[[#This Row],[Profit]]&gt;0,Table_BDD[[#This Row],[Type]]="buy"),ROUND((Table_BDD[[#This Row],[Lvl Sortie]]-Table_BDD[[#This Row],[Lvl Entrée]])/(Table_BDD[[#This Row],[Lvl Entrée]]-Table_BDD[[#This Row],[S / L]]),1),ROUND(Table_BDD[[#This Row],[Points]]/10,1)))))</f>
        <v>-0.6</v>
      </c>
      <c r="AA121" s="32">
        <f>IF(Table_BDD[[#This Row],[Position]]="",AA120,Table_BDD[[#This Row],[Equité après trade]]-Table_BDD[[#This Row],[Profit]]-Table_BDD[[#This Row],[Echange]])</f>
        <v>867.85</v>
      </c>
      <c r="AB121" s="149">
        <f>$B$1+SUM($L$4:M121)</f>
        <v>865.02</v>
      </c>
      <c r="AC121" s="150">
        <f>IF(Table_BDD[[#This Row],[Position]]="","",_xlfn.MINIFS(Table_BDD[Horodatage ouverture],Table_BDD[Date],Table_BDD[Date]))</f>
        <v>43875.390983796293</v>
      </c>
      <c r="AD121" s="149">
        <f>VLOOKUP(_xlfn.MINIFS(Table_BDD[Horodatage ouverture],Table_BDD[Date],Table_BDD[Date]),Table_BDD[[Horodatage ouverture]:[Heure derniere valeur]],AA$2)</f>
        <v>867.85</v>
      </c>
      <c r="AE121" s="149">
        <f>IF(VLOOKUP(_xlfn.MINIFS(Table_BDD[Horodatage ouverture],Table_BDD[Date],Table_BDD[Date]),Table_BDD[[Horodatage ouverture]:[Heure derniere valeur]],AA$2)=Table_BDD[[#This Row],[Equité avant trade]],VLOOKUP(_xlfn.MINIFS(Table_BDD[Horodatage ouverture],Table_BDD[Date],Table_BDD[Date]),Table_BDD[[Horodatage ouverture]:[Heure derniere valeur]],AA$2),0)</f>
        <v>867.85</v>
      </c>
      <c r="AF121" s="150">
        <f>IF(Table_BDD[[#This Row],[Position]]="","",_xlfn.MAXIFS(Table_BDD[Horodatage ouverture],Table_BDD[Date],Table_BDD[Date]))</f>
        <v>43875.829016203701</v>
      </c>
      <c r="AG121" s="32">
        <f>VLOOKUP(_xlfn.MAXIFS(Table_BDD[Horodatage cloture],Table_BDD[Date],Table_BDD[Date]),Table_BDD[[Horodatage ouverture]:[Heure derniere valeur]],AB$2)</f>
        <v>775.01</v>
      </c>
      <c r="AH121" s="32">
        <f>IF(VLOOKUP(_xlfn.MAXIFS(Table_BDD[Horodatage cloture],Table_BDD[Date],Table_BDD[Date]),Table_BDD[[Horodatage ouverture]:[Heure derniere valeur]],AB$2)=Table_BDD[[#This Row],[Equité après trade]],VLOOKUP(_xlfn.MAXIFS(Table_BDD[Horodatage cloture],Table_BDD[Date],Table_BDD[Date]),Table_BDD[[Horodatage ouverture]:[Heure derniere valeur]],AB$2),0)</f>
        <v>0</v>
      </c>
      <c r="AI121" s="32" t="e">
        <f>IF(Table_BDD[[#This Row],[Valeur fin de journée unique]]=0,#N/A,Table_BDD[[#This Row],[Valeur fin de journée unique]])</f>
        <v>#N/A</v>
      </c>
      <c r="AJ121" s="35">
        <f>IF(Table_BDD[[#This Row],[Position]]="","",(Table_BDD[[#This Row],[Equité après trade]]-Table_BDD[[#This Row],[Equité avant trade]])/Table_BDD[[#This Row],[Equité avant trade]])</f>
        <v>-3.2609321887423414E-3</v>
      </c>
      <c r="AK121" s="35">
        <f>IFERROR(((INDEX(Table_BDD[[Trade n°]:[Valeur fin de journée unique]],Table_BDD[[#This Row],[Nb de trade du jour]]+Table_BDD[[#This Row],[Trade n°]]-1,21))-Table_BDD[[#This Row],[Valeur début de journée unique]])/Table_BDD[[#This Row],[Valeur début de journée unique]],"")</f>
        <v>-0.10697701215647869</v>
      </c>
      <c r="AL121" s="32">
        <f>IF(Table_BDD[[#This Row],[Position]]="","",MAX(Table_BDD[[#This Row],[Cumul équité]],AL120))</f>
        <v>1052.8399999999999</v>
      </c>
      <c r="AM121" s="32">
        <f>IF(Table_BDD[[#This Row],[Position]]="","",MIN(Table_BDD[[#This Row],[Cumul équité]],AL120))</f>
        <v>865.02</v>
      </c>
      <c r="AN121" s="97">
        <f>IF(Table_BDD[[#This Row],[Sommet Drawdown]]&gt;AL120,"",Table_BDD[[#This Row],[Creux Drawdown]]/Table_BDD[[#This Row],[Sommet Drawdown]]-1)</f>
        <v>-0.17839367805174566</v>
      </c>
      <c r="AO121" s="36">
        <f>IF(Table_BDD[[#This Row],[Position]]="","",IF(Table_BDD[[#This Row],[Type]]="buy",ROUND(Table_BDD[[#This Row],[Lvl Sortie]]-Table_BDD[[#This Row],[Lvl Entrée]],1),ROUND(Table_BDD[[#This Row],[Lvl Entrée]]-Table_BDD[[#This Row],[Lvl Sortie]],1)))</f>
        <v>-6.1</v>
      </c>
      <c r="AP121" s="36" t="str">
        <f>IF(Table_BDD[[#This Row],[Points]]&gt;0,Table_BDD[[#This Row],[Points]],"")</f>
        <v/>
      </c>
      <c r="AQ121" s="36">
        <f>IF(Table_BDD[[#This Row],[Points]]&lt;0,Table_BDD[[#This Row],[Points]],"")</f>
        <v>-6.1</v>
      </c>
      <c r="AR121" s="36">
        <f>SUM($AO$4:AO121)</f>
        <v>-293.79999999999995</v>
      </c>
      <c r="AS121" s="68">
        <f>IF(Table_BDD[[#This Row],[Position]]="","",IF(Table_BDD[[#This Row],[Conformité]]="Conforme",1,0))</f>
        <v>0</v>
      </c>
      <c r="AT121" s="68">
        <f>IF(Table_BDD[[#This Row],[Position]]="","",IF(Table_BDD[[#This Row],[Conformité]]="Non conforme",1,0))</f>
        <v>1</v>
      </c>
      <c r="AU121" s="37" t="s">
        <v>17</v>
      </c>
      <c r="AV121" s="37"/>
      <c r="AW121" s="37"/>
      <c r="AX121" s="37">
        <v>0</v>
      </c>
      <c r="AY121" s="37">
        <v>0</v>
      </c>
      <c r="AZ121" s="37">
        <v>0</v>
      </c>
      <c r="BA121" s="40" t="str">
        <f>IF(Table_BDD[[#This Row],[Position]]="","Sans objet",IF(AND(Table_BDD[[#This Row],[Type]]="sell",Table_BDD[[#This Row],[S / L]]&lt;Table_BDD[[#This Row],[Lvl Entrée]],Table_BDD[[#This Row],[Lvl Sortie]]&lt;=Table_BDD[[#This Row],[S / L]]+2,Table_BDD[[#This Row],[Lvl Sortie]]&lt;Table_BDD[[#This Row],[Lvl Entrée]]-19),"Oui",IF(AND(Table_BDD[[#This Row],[Type]]="buy",Table_BDD[[#This Row],[S / L]]&gt;Table_BDD[[#This Row],[Lvl Entrée]],Table_BDD[[#This Row],[Lvl Sortie]]&gt;=Table_BDD[[#This Row],[S / L]]-2,Table_BDD[[#This Row],[S / L]]&gt;Table_BDD[[#This Row],[Lvl Entrée]]+19),"Oui","Non")))</f>
        <v>Non</v>
      </c>
      <c r="BB121" s="40" t="str">
        <f>IF(Table_BDD[[#This Row],[Position]]="","Sans objet",IF(AND(Table_BDD[[#This Row],[Type]]="sell",Table_BDD[[#This Row],[S / L]]&lt;Table_BDD[[#This Row],[Lvl Entrée]],Table_BDD[[#This Row],[Points]]&gt;=-1),"Oui",IF(AND(Table_BDD[[#This Row],[Type]]="sell",Table_BDD[[#This Row],[S / L]]&gt;Table_BDD[[#This Row],[Lvl Entrée]]),"Non",IF(AND(Table_BDD[[#This Row],[Type]]="buy",Table_BDD[[#This Row],[S / L]]&lt;Table_BDD[[#This Row],[Lvl Entrée]]),"Non",IF(AND(Table_BDD[[#This Row],[Type]]="buy",Table_BDD[[#This Row],[S / L]]&gt;Table_BDD[[#This Row],[Lvl Entrée]],Table_BDD[[#This Row],[Points]]&gt;=-1),"Oui")))))</f>
        <v>Non</v>
      </c>
      <c r="BC121" s="40" t="str">
        <f>IF(Table_BDD[[#This Row],[Position]]="","Sans objet",IF(Table_BDD[[#This Row],[T / P]]="","Non",IF(AND(Table_BDD[[#This Row],[Type]]="sell",Table_BDD[[#This Row],[Lvl Sortie]]&lt;=Table_BDD[[#This Row],[T / P]]),"Oui",IF(AND(Table_BDD[[#This Row],[Type]]="buy",Table_BDD[[#This Row],[Lvl Sortie]]&gt;=Table_BDD[[#This Row],[T / P]]),"Oui","Non"))))</f>
        <v>Non</v>
      </c>
      <c r="BD121" s="91">
        <f t="array" ref="BD121">IFERROR(INDEX(downloadFile[#All],MATCH(Table_BDD[[#This Row],[Date]],downloadFile[[#All],[Column1]],0),2),BD120)</f>
        <v>1.0842000000000001</v>
      </c>
      <c r="BE121" s="89">
        <f>IF(Table_BDD[[#This Row],[Position]]="","",IF(Table_BDD[[#This Row],[Symbole]]="UsaInd",(Table_BDD[[#This Row],[Volume]]*Table_BDD[[#This Row],[Lvl Entrée]])/(Table_BDD[[#This Row],[Equité avant trade]]*Table_BDD[[#This Row],[EUR/USD]]),IF(Table_BDD[[#This Row],[Symbole]]="Ger30",(Table_BDD[[#This Row],[Volume]]*Table_BDD[[#This Row],[Lvl Entrée]])/Table_BDD[[#This Row],[Equité avant trade]],)))</f>
        <v>15.658109611246923</v>
      </c>
      <c r="BF121" s="38">
        <f>IF(Table_BDD[[#This Row],[Position]]="","",IF(Table_BDD[[#This Row],[Conformité]]="Non conforme",0,(MROUND(3*((Table_BDD[[#This Row],[Conviction]]+Table_BDD[[#This Row],[Timing]]+Table_BDD[[#This Row],[Sortie]])+1)-2,1))))</f>
        <v>0</v>
      </c>
      <c r="BG121" s="38" t="str">
        <f>IF(Table_BDD[[#This Row],[Position]]="","",IF(Table_BDD[[#This Row],[Points]]&lt;-5,"--",IF(AND(Table_BDD[[#This Row],[Points]]&gt;=-5,Table_BDD[[#This Row],[Points]]&lt;-1.5),"-",IF(AND(Table_BDD[[#This Row],[Points]]&gt;=-1.5,Table_BDD[[#This Row],[Points]]&lt;1.5),"0",IF(AND(Table_BDD[[#This Row],[Points]]&gt;=1.5,Table_BDD[[#This Row],[Points]]&lt;=70),"+",IF(Table_BDD[[#This Row],[Points]]&gt;70,"++"))))))</f>
        <v>--</v>
      </c>
      <c r="BH121" s="37" t="str">
        <f>IF(Table_BDD[[#This Row],[Position]]="","",IF(Table_BDD[[#This Row],[Points]]&gt;0,"Gagnant",IF(Table_BDD[[#This Row],[Points]]=0,"Flat","Perdant")))</f>
        <v>Perdant</v>
      </c>
      <c r="BI121" s="40">
        <f>IF(Table_BDD[[#This Row],[Position]]="","",IF(Table_BDD[[#This Row],[Résultat]]="Gagnant",1,0))</f>
        <v>0</v>
      </c>
      <c r="BJ121" s="40">
        <f>IF(Table_BDD[[#This Row],[Position]]="","",IF(Table_BDD[[#This Row],[Résultat]]="Perdant",1,0))</f>
        <v>1</v>
      </c>
      <c r="BK121" s="40"/>
      <c r="BL121" s="145">
        <f>IF(Table_BDD[[#This Row],[T / P]]="","",Table_BDD[[#This Row],[T / P]])</f>
        <v>29526.15</v>
      </c>
      <c r="BM121" s="147"/>
      <c r="BN121" s="147"/>
      <c r="BO121" s="147"/>
      <c r="BP121" s="147"/>
      <c r="BQ121" s="127"/>
    </row>
    <row r="122" spans="1:69" x14ac:dyDescent="0.2">
      <c r="A122" s="93">
        <v>43875.416666666664</v>
      </c>
      <c r="B122" s="94">
        <v>259950761</v>
      </c>
      <c r="C122" s="37" t="s">
        <v>8</v>
      </c>
      <c r="D122" s="37" t="s">
        <v>9</v>
      </c>
      <c r="E122" s="37">
        <v>0.5</v>
      </c>
      <c r="F122" s="95">
        <v>29467.25</v>
      </c>
      <c r="G122" s="95">
        <v>29457.25</v>
      </c>
      <c r="H122" s="95">
        <v>29527.25</v>
      </c>
      <c r="I122" s="93">
        <v>43875.417708333334</v>
      </c>
      <c r="J122" s="95">
        <v>29457.19</v>
      </c>
      <c r="K122" s="95">
        <v>0</v>
      </c>
      <c r="L122" s="95">
        <v>0</v>
      </c>
      <c r="M122" s="32">
        <v>-4.6399999999999997</v>
      </c>
      <c r="N122" s="148">
        <f>IF(Table_BDD[[#This Row],[Position]]="","",ROW()-3)</f>
        <v>119</v>
      </c>
      <c r="O122" s="32">
        <f>SUM($L$4:M122)</f>
        <v>-139.61999999999995</v>
      </c>
      <c r="P122" s="32">
        <f>Table_BDD[[#This Row],[Equité avant trade]]+Table_BDD[[#This Row],[Profit]]+Table_BDD[[#This Row],[Echange]]</f>
        <v>860.38000000000011</v>
      </c>
      <c r="Q122" s="52">
        <f>INT(Table_BDD[[#This Row],[Horodatage cloture]])</f>
        <v>43875</v>
      </c>
      <c r="R122" s="34">
        <f>WEEKNUM(Table_BDD[[#This Row],[Horodatage cloture]],2)</f>
        <v>7</v>
      </c>
      <c r="S122" s="61">
        <f>WEEKDAY(Table_BDD[[#This Row],[Horodatage cloture]])</f>
        <v>6</v>
      </c>
      <c r="T122" s="63">
        <f>HOUR(Table_BDD[[#This Row],[Horodatage cloture]])</f>
        <v>10</v>
      </c>
      <c r="U122" s="68">
        <f>IF(Table_BDD[[#This Row],[Position]]="","",IF(Table_BDD[[#This Row],[Valeur début de journée unique]]&lt;&gt;0,1,0))</f>
        <v>0</v>
      </c>
      <c r="V122" s="68" t="str">
        <f>IF(Table_BDD[[#This Row],[Nb de séance de trading]]=1,COUNTIF(Table_BDD[Date],Table_BDD[[#This Row],[Date]]),"")</f>
        <v/>
      </c>
      <c r="W122" s="33">
        <f>IF(Table_BDD[[#This Row],[Position]]="","",IF(Table_BDD[[#This Row],[Type]]="buy",ROUND(Table_BDD[[#This Row],[Lvl Entrée]]-Table_BDD[[#This Row],[S / L]],1),ROUND(Table_BDD[[#This Row],[S / L]]-Table_BDD[[#This Row],[Lvl Entrée]],1)))</f>
        <v>10</v>
      </c>
      <c r="X122" s="33">
        <f>IF(Table_BDD[[#This Row],[Position]]="","",IF(Table_BDD[[#This Row],[T / P]]=0,200,IF(Table_BDD[[#This Row],[Type]]="buy",ROUND(Table_BDD[[#This Row],[T / P]]-Table_BDD[[#This Row],[Lvl Entrée]],1),ROUND(Table_BDD[[#This Row],[Lvl Entrée]]-Table_BDD[[#This Row],[T / P]],1))))</f>
        <v>60</v>
      </c>
      <c r="Y122" s="34">
        <f>IF(Table_BDD[[#This Row],[Position]]="","",IF(Table_BDD[[#This Row],[Ecart du SL]]&gt;0,ROUND(ABS(Table_BDD[[#This Row],[Ecart du TP]])/ABS(Table_BDD[[#This Row],[Ecart du SL]]),1),ROUND(ABS(Table_BDD[[#This Row],[Ecart du TP]])/10,1)))</f>
        <v>6</v>
      </c>
      <c r="Z122" s="34">
        <f>IF(Table_BDD[[#This Row],[Position]]="","",IF(Table_BDD[[#This Row],[Ecart du SL]]&lt;0,IF(AND(Table_BDD[[#This Row],[Profit]]&gt;0,Table_BDD[[#This Row],[Type]]="sell"),ROUND((Table_BDD[[#This Row],[Lvl Entrée]]-Table_BDD[[#This Row],[Lvl Sortie]])/(10),1),IF(AND(Table_BDD[[#This Row],[Profit]]&gt;0,Table_BDD[[#This Row],[Type]]="buy"),ROUND((Table_BDD[[#This Row],[Lvl Sortie]]-Table_BDD[[#This Row],[Lvl Entrée]])/(10),1),)),IF(AND(Table_BDD[[#This Row],[Profit]]&gt;0,Table_BDD[[#This Row],[Type]]="sell"),ROUND((Table_BDD[[#This Row],[Lvl Entrée]]-Table_BDD[[#This Row],[Lvl Sortie]])/(Table_BDD[[#This Row],[S / L]]-Table_BDD[[#This Row],[Lvl Entrée]]),1),IF(AND(Table_BDD[[#This Row],[Profit]]&gt;0,Table_BDD[[#This Row],[Type]]="buy"),ROUND((Table_BDD[[#This Row],[Lvl Sortie]]-Table_BDD[[#This Row],[Lvl Entrée]])/(Table_BDD[[#This Row],[Lvl Entrée]]-Table_BDD[[#This Row],[S / L]]),1),ROUND(Table_BDD[[#This Row],[Points]]/10,1)))))</f>
        <v>-1</v>
      </c>
      <c r="AA122" s="32">
        <f>IF(Table_BDD[[#This Row],[Position]]="",AA121,Table_BDD[[#This Row],[Equité après trade]]-Table_BDD[[#This Row],[Profit]]-Table_BDD[[#This Row],[Echange]])</f>
        <v>865.0200000000001</v>
      </c>
      <c r="AB122" s="149">
        <f>$B$1+SUM($L$4:M122)</f>
        <v>860.38000000000011</v>
      </c>
      <c r="AC122" s="150">
        <f>IF(Table_BDD[[#This Row],[Position]]="","",_xlfn.MINIFS(Table_BDD[Horodatage ouverture],Table_BDD[Date],Table_BDD[Date]))</f>
        <v>43875.390983796293</v>
      </c>
      <c r="AD122" s="149">
        <f>VLOOKUP(_xlfn.MINIFS(Table_BDD[Horodatage ouverture],Table_BDD[Date],Table_BDD[Date]),Table_BDD[[Horodatage ouverture]:[Heure derniere valeur]],AA$2)</f>
        <v>867.85</v>
      </c>
      <c r="AE122" s="149">
        <f>IF(VLOOKUP(_xlfn.MINIFS(Table_BDD[Horodatage ouverture],Table_BDD[Date],Table_BDD[Date]),Table_BDD[[Horodatage ouverture]:[Heure derniere valeur]],AA$2)=Table_BDD[[#This Row],[Equité avant trade]],VLOOKUP(_xlfn.MINIFS(Table_BDD[Horodatage ouverture],Table_BDD[Date],Table_BDD[Date]),Table_BDD[[Horodatage ouverture]:[Heure derniere valeur]],AA$2),0)</f>
        <v>0</v>
      </c>
      <c r="AF122" s="150">
        <f>IF(Table_BDD[[#This Row],[Position]]="","",_xlfn.MAXIFS(Table_BDD[Horodatage ouverture],Table_BDD[Date],Table_BDD[Date]))</f>
        <v>43875.829016203701</v>
      </c>
      <c r="AG122" s="32">
        <f>VLOOKUP(_xlfn.MAXIFS(Table_BDD[Horodatage cloture],Table_BDD[Date],Table_BDD[Date]),Table_BDD[[Horodatage ouverture]:[Heure derniere valeur]],AB$2)</f>
        <v>775.01</v>
      </c>
      <c r="AH122" s="32">
        <f>IF(VLOOKUP(_xlfn.MAXIFS(Table_BDD[Horodatage cloture],Table_BDD[Date],Table_BDD[Date]),Table_BDD[[Horodatage ouverture]:[Heure derniere valeur]],AB$2)=Table_BDD[[#This Row],[Equité après trade]],VLOOKUP(_xlfn.MAXIFS(Table_BDD[Horodatage cloture],Table_BDD[Date],Table_BDD[Date]),Table_BDD[[Horodatage ouverture]:[Heure derniere valeur]],AB$2),0)</f>
        <v>0</v>
      </c>
      <c r="AI122" s="32" t="e">
        <f>IF(Table_BDD[[#This Row],[Valeur fin de journée unique]]=0,#N/A,Table_BDD[[#This Row],[Valeur fin de journée unique]])</f>
        <v>#N/A</v>
      </c>
      <c r="AJ122" s="35">
        <f>IF(Table_BDD[[#This Row],[Position]]="","",(Table_BDD[[#This Row],[Equité après trade]]-Table_BDD[[#This Row],[Equité avant trade]])/Table_BDD[[#This Row],[Equité avant trade]])</f>
        <v>-5.3640378257149958E-3</v>
      </c>
      <c r="AK122" s="35" t="str">
        <f>IFERROR(((INDEX(Table_BDD[[Trade n°]:[Valeur fin de journée unique]],Table_BDD[[#This Row],[Nb de trade du jour]]+Table_BDD[[#This Row],[Trade n°]]-1,21))-Table_BDD[[#This Row],[Valeur début de journée unique]])/Table_BDD[[#This Row],[Valeur début de journée unique]],"")</f>
        <v/>
      </c>
      <c r="AL122" s="32">
        <f>IF(Table_BDD[[#This Row],[Position]]="","",MAX(Table_BDD[[#This Row],[Cumul équité]],AL121))</f>
        <v>1052.8399999999999</v>
      </c>
      <c r="AM122" s="32">
        <f>IF(Table_BDD[[#This Row],[Position]]="","",MIN(Table_BDD[[#This Row],[Cumul équité]],AL121))</f>
        <v>860.38000000000011</v>
      </c>
      <c r="AN122" s="97">
        <f>IF(Table_BDD[[#This Row],[Sommet Drawdown]]&gt;AL121,"",Table_BDD[[#This Row],[Creux Drawdown]]/Table_BDD[[#This Row],[Sommet Drawdown]]-1)</f>
        <v>-0.18280080544052257</v>
      </c>
      <c r="AO122" s="36">
        <f>IF(Table_BDD[[#This Row],[Position]]="","",IF(Table_BDD[[#This Row],[Type]]="buy",ROUND(Table_BDD[[#This Row],[Lvl Sortie]]-Table_BDD[[#This Row],[Lvl Entrée]],1),ROUND(Table_BDD[[#This Row],[Lvl Entrée]]-Table_BDD[[#This Row],[Lvl Sortie]],1)))</f>
        <v>-10.1</v>
      </c>
      <c r="AP122" s="36" t="str">
        <f>IF(Table_BDD[[#This Row],[Points]]&gt;0,Table_BDD[[#This Row],[Points]],"")</f>
        <v/>
      </c>
      <c r="AQ122" s="36">
        <f>IF(Table_BDD[[#This Row],[Points]]&lt;0,Table_BDD[[#This Row],[Points]],"")</f>
        <v>-10.1</v>
      </c>
      <c r="AR122" s="36">
        <f>SUM($AO$4:AO122)</f>
        <v>-303.89999999999998</v>
      </c>
      <c r="AS122" s="68">
        <f>IF(Table_BDD[[#This Row],[Position]]="","",IF(Table_BDD[[#This Row],[Conformité]]="Conforme",1,0))</f>
        <v>0</v>
      </c>
      <c r="AT122" s="68">
        <f>IF(Table_BDD[[#This Row],[Position]]="","",IF(Table_BDD[[#This Row],[Conformité]]="Non conforme",1,0))</f>
        <v>1</v>
      </c>
      <c r="AU122" s="37" t="s">
        <v>17</v>
      </c>
      <c r="AV122" s="37"/>
      <c r="AW122" s="37"/>
      <c r="AX122" s="37">
        <v>0</v>
      </c>
      <c r="AY122" s="37">
        <v>0</v>
      </c>
      <c r="AZ122" s="37">
        <v>0</v>
      </c>
      <c r="BA122" s="40" t="str">
        <f>IF(Table_BDD[[#This Row],[Position]]="","Sans objet",IF(AND(Table_BDD[[#This Row],[Type]]="sell",Table_BDD[[#This Row],[S / L]]&lt;Table_BDD[[#This Row],[Lvl Entrée]],Table_BDD[[#This Row],[Lvl Sortie]]&lt;=Table_BDD[[#This Row],[S / L]]+2,Table_BDD[[#This Row],[Lvl Sortie]]&lt;Table_BDD[[#This Row],[Lvl Entrée]]-19),"Oui",IF(AND(Table_BDD[[#This Row],[Type]]="buy",Table_BDD[[#This Row],[S / L]]&gt;Table_BDD[[#This Row],[Lvl Entrée]],Table_BDD[[#This Row],[Lvl Sortie]]&gt;=Table_BDD[[#This Row],[S / L]]-2,Table_BDD[[#This Row],[S / L]]&gt;Table_BDD[[#This Row],[Lvl Entrée]]+19),"Oui","Non")))</f>
        <v>Non</v>
      </c>
      <c r="BB122" s="40" t="str">
        <f>IF(Table_BDD[[#This Row],[Position]]="","Sans objet",IF(AND(Table_BDD[[#This Row],[Type]]="sell",Table_BDD[[#This Row],[S / L]]&lt;Table_BDD[[#This Row],[Lvl Entrée]],Table_BDD[[#This Row],[Points]]&gt;=-1),"Oui",IF(AND(Table_BDD[[#This Row],[Type]]="sell",Table_BDD[[#This Row],[S / L]]&gt;Table_BDD[[#This Row],[Lvl Entrée]]),"Non",IF(AND(Table_BDD[[#This Row],[Type]]="buy",Table_BDD[[#This Row],[S / L]]&lt;Table_BDD[[#This Row],[Lvl Entrée]]),"Non",IF(AND(Table_BDD[[#This Row],[Type]]="buy",Table_BDD[[#This Row],[S / L]]&gt;Table_BDD[[#This Row],[Lvl Entrée]],Table_BDD[[#This Row],[Points]]&gt;=-1),"Oui")))))</f>
        <v>Non</v>
      </c>
      <c r="BC122" s="40" t="str">
        <f>IF(Table_BDD[[#This Row],[Position]]="","Sans objet",IF(Table_BDD[[#This Row],[T / P]]="","Non",IF(AND(Table_BDD[[#This Row],[Type]]="sell",Table_BDD[[#This Row],[Lvl Sortie]]&lt;=Table_BDD[[#This Row],[T / P]]),"Oui",IF(AND(Table_BDD[[#This Row],[Type]]="buy",Table_BDD[[#This Row],[Lvl Sortie]]&gt;=Table_BDD[[#This Row],[T / P]]),"Oui","Non"))))</f>
        <v>Non</v>
      </c>
      <c r="BD122" s="91">
        <f t="array" ref="BD122">IFERROR(INDEX(downloadFile[#All],MATCH(Table_BDD[[#This Row],[Date]],downloadFile[[#All],[Column1]],0),2),BD121)</f>
        <v>1.0842000000000001</v>
      </c>
      <c r="BE122" s="89">
        <f>IF(Table_BDD[[#This Row],[Position]]="","",IF(Table_BDD[[#This Row],[Symbole]]="UsaInd",(Table_BDD[[#This Row],[Volume]]*Table_BDD[[#This Row],[Lvl Entrée]])/(Table_BDD[[#This Row],[Equité avant trade]]*Table_BDD[[#This Row],[EUR/USD]]),IF(Table_BDD[[#This Row],[Symbole]]="Ger30",(Table_BDD[[#This Row],[Volume]]*Table_BDD[[#This Row],[Lvl Entrée]])/Table_BDD[[#This Row],[Equité avant trade]],)))</f>
        <v>15.709923137729936</v>
      </c>
      <c r="BF122" s="38">
        <f>IF(Table_BDD[[#This Row],[Position]]="","",IF(Table_BDD[[#This Row],[Conformité]]="Non conforme",0,(MROUND(3*((Table_BDD[[#This Row],[Conviction]]+Table_BDD[[#This Row],[Timing]]+Table_BDD[[#This Row],[Sortie]])+1)-2,1))))</f>
        <v>0</v>
      </c>
      <c r="BG122" s="38" t="str">
        <f>IF(Table_BDD[[#This Row],[Position]]="","",IF(Table_BDD[[#This Row],[Points]]&lt;-5,"--",IF(AND(Table_BDD[[#This Row],[Points]]&gt;=-5,Table_BDD[[#This Row],[Points]]&lt;-1.5),"-",IF(AND(Table_BDD[[#This Row],[Points]]&gt;=-1.5,Table_BDD[[#This Row],[Points]]&lt;1.5),"0",IF(AND(Table_BDD[[#This Row],[Points]]&gt;=1.5,Table_BDD[[#This Row],[Points]]&lt;=70),"+",IF(Table_BDD[[#This Row],[Points]]&gt;70,"++"))))))</f>
        <v>--</v>
      </c>
      <c r="BH122" s="37" t="str">
        <f>IF(Table_BDD[[#This Row],[Position]]="","",IF(Table_BDD[[#This Row],[Points]]&gt;0,"Gagnant",IF(Table_BDD[[#This Row],[Points]]=0,"Flat","Perdant")))</f>
        <v>Perdant</v>
      </c>
      <c r="BI122" s="40">
        <f>IF(Table_BDD[[#This Row],[Position]]="","",IF(Table_BDD[[#This Row],[Résultat]]="Gagnant",1,0))</f>
        <v>0</v>
      </c>
      <c r="BJ122" s="40">
        <f>IF(Table_BDD[[#This Row],[Position]]="","",IF(Table_BDD[[#This Row],[Résultat]]="Perdant",1,0))</f>
        <v>1</v>
      </c>
      <c r="BK122" s="40"/>
      <c r="BL122" s="145">
        <f>IF(Table_BDD[[#This Row],[T / P]]="","",Table_BDD[[#This Row],[T / P]])</f>
        <v>29527.25</v>
      </c>
      <c r="BM122" s="147"/>
      <c r="BN122" s="147"/>
      <c r="BO122" s="147"/>
      <c r="BP122" s="147"/>
      <c r="BQ122" s="127"/>
    </row>
    <row r="123" spans="1:69" x14ac:dyDescent="0.2">
      <c r="A123" s="93">
        <v>43875.418043981481</v>
      </c>
      <c r="B123" s="94">
        <v>259950984</v>
      </c>
      <c r="C123" s="37" t="s">
        <v>8</v>
      </c>
      <c r="D123" s="37" t="s">
        <v>9</v>
      </c>
      <c r="E123" s="37">
        <v>0.5</v>
      </c>
      <c r="F123" s="95">
        <v>29457.06</v>
      </c>
      <c r="G123" s="95">
        <v>29447.06</v>
      </c>
      <c r="H123" s="95">
        <v>29527.06</v>
      </c>
      <c r="I123" s="93">
        <v>43875.420416666668</v>
      </c>
      <c r="J123" s="95">
        <v>29446.29</v>
      </c>
      <c r="K123" s="95">
        <v>0</v>
      </c>
      <c r="L123" s="95">
        <v>0</v>
      </c>
      <c r="M123" s="32">
        <v>-4.97</v>
      </c>
      <c r="N123" s="148">
        <f>IF(Table_BDD[[#This Row],[Position]]="","",ROW()-3)</f>
        <v>120</v>
      </c>
      <c r="O123" s="32">
        <f>SUM($L$4:M123)</f>
        <v>-144.58999999999995</v>
      </c>
      <c r="P123" s="32">
        <f>Table_BDD[[#This Row],[Equité avant trade]]+Table_BDD[[#This Row],[Profit]]+Table_BDD[[#This Row],[Echange]]</f>
        <v>855.41000000000008</v>
      </c>
      <c r="Q123" s="52">
        <f>INT(Table_BDD[[#This Row],[Horodatage cloture]])</f>
        <v>43875</v>
      </c>
      <c r="R123" s="34">
        <f>WEEKNUM(Table_BDD[[#This Row],[Horodatage cloture]],2)</f>
        <v>7</v>
      </c>
      <c r="S123" s="61">
        <f>WEEKDAY(Table_BDD[[#This Row],[Horodatage cloture]])</f>
        <v>6</v>
      </c>
      <c r="T123" s="63">
        <f>HOUR(Table_BDD[[#This Row],[Horodatage cloture]])</f>
        <v>10</v>
      </c>
      <c r="U123" s="68">
        <f>IF(Table_BDD[[#This Row],[Position]]="","",IF(Table_BDD[[#This Row],[Valeur début de journée unique]]&lt;&gt;0,1,0))</f>
        <v>0</v>
      </c>
      <c r="V123" s="68" t="str">
        <f>IF(Table_BDD[[#This Row],[Nb de séance de trading]]=1,COUNTIF(Table_BDD[Date],Table_BDD[[#This Row],[Date]]),"")</f>
        <v/>
      </c>
      <c r="W123" s="33">
        <f>IF(Table_BDD[[#This Row],[Position]]="","",IF(Table_BDD[[#This Row],[Type]]="buy",ROUND(Table_BDD[[#This Row],[Lvl Entrée]]-Table_BDD[[#This Row],[S / L]],1),ROUND(Table_BDD[[#This Row],[S / L]]-Table_BDD[[#This Row],[Lvl Entrée]],1)))</f>
        <v>10</v>
      </c>
      <c r="X123" s="33">
        <f>IF(Table_BDD[[#This Row],[Position]]="","",IF(Table_BDD[[#This Row],[T / P]]=0,200,IF(Table_BDD[[#This Row],[Type]]="buy",ROUND(Table_BDD[[#This Row],[T / P]]-Table_BDD[[#This Row],[Lvl Entrée]],1),ROUND(Table_BDD[[#This Row],[Lvl Entrée]]-Table_BDD[[#This Row],[T / P]],1))))</f>
        <v>70</v>
      </c>
      <c r="Y123" s="34">
        <f>IF(Table_BDD[[#This Row],[Position]]="","",IF(Table_BDD[[#This Row],[Ecart du SL]]&gt;0,ROUND(ABS(Table_BDD[[#This Row],[Ecart du TP]])/ABS(Table_BDD[[#This Row],[Ecart du SL]]),1),ROUND(ABS(Table_BDD[[#This Row],[Ecart du TP]])/10,1)))</f>
        <v>7</v>
      </c>
      <c r="Z123" s="34">
        <f>IF(Table_BDD[[#This Row],[Position]]="","",IF(Table_BDD[[#This Row],[Ecart du SL]]&lt;0,IF(AND(Table_BDD[[#This Row],[Profit]]&gt;0,Table_BDD[[#This Row],[Type]]="sell"),ROUND((Table_BDD[[#This Row],[Lvl Entrée]]-Table_BDD[[#This Row],[Lvl Sortie]])/(10),1),IF(AND(Table_BDD[[#This Row],[Profit]]&gt;0,Table_BDD[[#This Row],[Type]]="buy"),ROUND((Table_BDD[[#This Row],[Lvl Sortie]]-Table_BDD[[#This Row],[Lvl Entrée]])/(10),1),)),IF(AND(Table_BDD[[#This Row],[Profit]]&gt;0,Table_BDD[[#This Row],[Type]]="sell"),ROUND((Table_BDD[[#This Row],[Lvl Entrée]]-Table_BDD[[#This Row],[Lvl Sortie]])/(Table_BDD[[#This Row],[S / L]]-Table_BDD[[#This Row],[Lvl Entrée]]),1),IF(AND(Table_BDD[[#This Row],[Profit]]&gt;0,Table_BDD[[#This Row],[Type]]="buy"),ROUND((Table_BDD[[#This Row],[Lvl Sortie]]-Table_BDD[[#This Row],[Lvl Entrée]])/(Table_BDD[[#This Row],[Lvl Entrée]]-Table_BDD[[#This Row],[S / L]]),1),ROUND(Table_BDD[[#This Row],[Points]]/10,1)))))</f>
        <v>-1.1000000000000001</v>
      </c>
      <c r="AA123" s="32">
        <f>IF(Table_BDD[[#This Row],[Position]]="",AA122,Table_BDD[[#This Row],[Equité après trade]]-Table_BDD[[#This Row],[Profit]]-Table_BDD[[#This Row],[Echange]])</f>
        <v>860.38000000000011</v>
      </c>
      <c r="AB123" s="149">
        <f>$B$1+SUM($L$4:M123)</f>
        <v>855.41000000000008</v>
      </c>
      <c r="AC123" s="150">
        <f>IF(Table_BDD[[#This Row],[Position]]="","",_xlfn.MINIFS(Table_BDD[Horodatage ouverture],Table_BDD[Date],Table_BDD[Date]))</f>
        <v>43875.390983796293</v>
      </c>
      <c r="AD123" s="149">
        <f>VLOOKUP(_xlfn.MINIFS(Table_BDD[Horodatage ouverture],Table_BDD[Date],Table_BDD[Date]),Table_BDD[[Horodatage ouverture]:[Heure derniere valeur]],AA$2)</f>
        <v>867.85</v>
      </c>
      <c r="AE123" s="149">
        <f>IF(VLOOKUP(_xlfn.MINIFS(Table_BDD[Horodatage ouverture],Table_BDD[Date],Table_BDD[Date]),Table_BDD[[Horodatage ouverture]:[Heure derniere valeur]],AA$2)=Table_BDD[[#This Row],[Equité avant trade]],VLOOKUP(_xlfn.MINIFS(Table_BDD[Horodatage ouverture],Table_BDD[Date],Table_BDD[Date]),Table_BDD[[Horodatage ouverture]:[Heure derniere valeur]],AA$2),0)</f>
        <v>0</v>
      </c>
      <c r="AF123" s="150">
        <f>IF(Table_BDD[[#This Row],[Position]]="","",_xlfn.MAXIFS(Table_BDD[Horodatage ouverture],Table_BDD[Date],Table_BDD[Date]))</f>
        <v>43875.829016203701</v>
      </c>
      <c r="AG123" s="32">
        <f>VLOOKUP(_xlfn.MAXIFS(Table_BDD[Horodatage cloture],Table_BDD[Date],Table_BDD[Date]),Table_BDD[[Horodatage ouverture]:[Heure derniere valeur]],AB$2)</f>
        <v>775.01</v>
      </c>
      <c r="AH123" s="32">
        <f>IF(VLOOKUP(_xlfn.MAXIFS(Table_BDD[Horodatage cloture],Table_BDD[Date],Table_BDD[Date]),Table_BDD[[Horodatage ouverture]:[Heure derniere valeur]],AB$2)=Table_BDD[[#This Row],[Equité après trade]],VLOOKUP(_xlfn.MAXIFS(Table_BDD[Horodatage cloture],Table_BDD[Date],Table_BDD[Date]),Table_BDD[[Horodatage ouverture]:[Heure derniere valeur]],AB$2),0)</f>
        <v>0</v>
      </c>
      <c r="AI123" s="32" t="e">
        <f>IF(Table_BDD[[#This Row],[Valeur fin de journée unique]]=0,#N/A,Table_BDD[[#This Row],[Valeur fin de journée unique]])</f>
        <v>#N/A</v>
      </c>
      <c r="AJ123" s="35">
        <f>IF(Table_BDD[[#This Row],[Position]]="","",(Table_BDD[[#This Row],[Equité après trade]]-Table_BDD[[#This Row],[Equité avant trade]])/Table_BDD[[#This Row],[Equité avant trade]])</f>
        <v>-5.7765173527976324E-3</v>
      </c>
      <c r="AK123" s="35" t="str">
        <f>IFERROR(((INDEX(Table_BDD[[Trade n°]:[Valeur fin de journée unique]],Table_BDD[[#This Row],[Nb de trade du jour]]+Table_BDD[[#This Row],[Trade n°]]-1,21))-Table_BDD[[#This Row],[Valeur début de journée unique]])/Table_BDD[[#This Row],[Valeur début de journée unique]],"")</f>
        <v/>
      </c>
      <c r="AL123" s="32">
        <f>IF(Table_BDD[[#This Row],[Position]]="","",MAX(Table_BDD[[#This Row],[Cumul équité]],AL122))</f>
        <v>1052.8399999999999</v>
      </c>
      <c r="AM123" s="32">
        <f>IF(Table_BDD[[#This Row],[Position]]="","",MIN(Table_BDD[[#This Row],[Cumul équité]],AL122))</f>
        <v>855.41000000000008</v>
      </c>
      <c r="AN123" s="97">
        <f>IF(Table_BDD[[#This Row],[Sommet Drawdown]]&gt;AL122,"",Table_BDD[[#This Row],[Creux Drawdown]]/Table_BDD[[#This Row],[Sommet Drawdown]]-1)</f>
        <v>-0.18752137076858766</v>
      </c>
      <c r="AO123" s="36">
        <f>IF(Table_BDD[[#This Row],[Position]]="","",IF(Table_BDD[[#This Row],[Type]]="buy",ROUND(Table_BDD[[#This Row],[Lvl Sortie]]-Table_BDD[[#This Row],[Lvl Entrée]],1),ROUND(Table_BDD[[#This Row],[Lvl Entrée]]-Table_BDD[[#This Row],[Lvl Sortie]],1)))</f>
        <v>-10.8</v>
      </c>
      <c r="AP123" s="36" t="str">
        <f>IF(Table_BDD[[#This Row],[Points]]&gt;0,Table_BDD[[#This Row],[Points]],"")</f>
        <v/>
      </c>
      <c r="AQ123" s="36">
        <f>IF(Table_BDD[[#This Row],[Points]]&lt;0,Table_BDD[[#This Row],[Points]],"")</f>
        <v>-10.8</v>
      </c>
      <c r="AR123" s="36">
        <f>SUM($AO$4:AO123)</f>
        <v>-314.7</v>
      </c>
      <c r="AS123" s="68">
        <f>IF(Table_BDD[[#This Row],[Position]]="","",IF(Table_BDD[[#This Row],[Conformité]]="Conforme",1,0))</f>
        <v>0</v>
      </c>
      <c r="AT123" s="68">
        <f>IF(Table_BDD[[#This Row],[Position]]="","",IF(Table_BDD[[#This Row],[Conformité]]="Non conforme",1,0))</f>
        <v>1</v>
      </c>
      <c r="AU123" s="37" t="s">
        <v>17</v>
      </c>
      <c r="AV123" s="37"/>
      <c r="AW123" s="37"/>
      <c r="AX123" s="37">
        <v>0</v>
      </c>
      <c r="AY123" s="37">
        <v>0</v>
      </c>
      <c r="AZ123" s="37">
        <v>0</v>
      </c>
      <c r="BA123" s="40" t="str">
        <f>IF(Table_BDD[[#This Row],[Position]]="","Sans objet",IF(AND(Table_BDD[[#This Row],[Type]]="sell",Table_BDD[[#This Row],[S / L]]&lt;Table_BDD[[#This Row],[Lvl Entrée]],Table_BDD[[#This Row],[Lvl Sortie]]&lt;=Table_BDD[[#This Row],[S / L]]+2,Table_BDD[[#This Row],[Lvl Sortie]]&lt;Table_BDD[[#This Row],[Lvl Entrée]]-19),"Oui",IF(AND(Table_BDD[[#This Row],[Type]]="buy",Table_BDD[[#This Row],[S / L]]&gt;Table_BDD[[#This Row],[Lvl Entrée]],Table_BDD[[#This Row],[Lvl Sortie]]&gt;=Table_BDD[[#This Row],[S / L]]-2,Table_BDD[[#This Row],[S / L]]&gt;Table_BDD[[#This Row],[Lvl Entrée]]+19),"Oui","Non")))</f>
        <v>Non</v>
      </c>
      <c r="BB123" s="40" t="str">
        <f>IF(Table_BDD[[#This Row],[Position]]="","Sans objet",IF(AND(Table_BDD[[#This Row],[Type]]="sell",Table_BDD[[#This Row],[S / L]]&lt;Table_BDD[[#This Row],[Lvl Entrée]],Table_BDD[[#This Row],[Points]]&gt;=-1),"Oui",IF(AND(Table_BDD[[#This Row],[Type]]="sell",Table_BDD[[#This Row],[S / L]]&gt;Table_BDD[[#This Row],[Lvl Entrée]]),"Non",IF(AND(Table_BDD[[#This Row],[Type]]="buy",Table_BDD[[#This Row],[S / L]]&lt;Table_BDD[[#This Row],[Lvl Entrée]]),"Non",IF(AND(Table_BDD[[#This Row],[Type]]="buy",Table_BDD[[#This Row],[S / L]]&gt;Table_BDD[[#This Row],[Lvl Entrée]],Table_BDD[[#This Row],[Points]]&gt;=-1),"Oui")))))</f>
        <v>Non</v>
      </c>
      <c r="BC123" s="40" t="str">
        <f>IF(Table_BDD[[#This Row],[Position]]="","Sans objet",IF(Table_BDD[[#This Row],[T / P]]="","Non",IF(AND(Table_BDD[[#This Row],[Type]]="sell",Table_BDD[[#This Row],[Lvl Sortie]]&lt;=Table_BDD[[#This Row],[T / P]]),"Oui",IF(AND(Table_BDD[[#This Row],[Type]]="buy",Table_BDD[[#This Row],[Lvl Sortie]]&gt;=Table_BDD[[#This Row],[T / P]]),"Oui","Non"))))</f>
        <v>Non</v>
      </c>
      <c r="BD123" s="91">
        <f t="array" ref="BD123">IFERROR(INDEX(downloadFile[#All],MATCH(Table_BDD[[#This Row],[Date]],downloadFile[[#All],[Column1]],0),2),BD122)</f>
        <v>1.0842000000000001</v>
      </c>
      <c r="BE123" s="89">
        <f>IF(Table_BDD[[#This Row],[Position]]="","",IF(Table_BDD[[#This Row],[Symbole]]="UsaInd",(Table_BDD[[#This Row],[Volume]]*Table_BDD[[#This Row],[Lvl Entrée]])/(Table_BDD[[#This Row],[Equité avant trade]]*Table_BDD[[#This Row],[EUR/USD]]),IF(Table_BDD[[#This Row],[Symbole]]="Ger30",(Table_BDD[[#This Row],[Volume]]*Table_BDD[[#This Row],[Lvl Entrée]])/Table_BDD[[#This Row],[Equité avant trade]],)))</f>
        <v>15.789184308247574</v>
      </c>
      <c r="BF123" s="38">
        <f>IF(Table_BDD[[#This Row],[Position]]="","",IF(Table_BDD[[#This Row],[Conformité]]="Non conforme",0,(MROUND(3*((Table_BDD[[#This Row],[Conviction]]+Table_BDD[[#This Row],[Timing]]+Table_BDD[[#This Row],[Sortie]])+1)-2,1))))</f>
        <v>0</v>
      </c>
      <c r="BG123" s="38" t="str">
        <f>IF(Table_BDD[[#This Row],[Position]]="","",IF(Table_BDD[[#This Row],[Points]]&lt;-5,"--",IF(AND(Table_BDD[[#This Row],[Points]]&gt;=-5,Table_BDD[[#This Row],[Points]]&lt;-1.5),"-",IF(AND(Table_BDD[[#This Row],[Points]]&gt;=-1.5,Table_BDD[[#This Row],[Points]]&lt;1.5),"0",IF(AND(Table_BDD[[#This Row],[Points]]&gt;=1.5,Table_BDD[[#This Row],[Points]]&lt;=70),"+",IF(Table_BDD[[#This Row],[Points]]&gt;70,"++"))))))</f>
        <v>--</v>
      </c>
      <c r="BH123" s="37" t="str">
        <f>IF(Table_BDD[[#This Row],[Position]]="","",IF(Table_BDD[[#This Row],[Points]]&gt;0,"Gagnant",IF(Table_BDD[[#This Row],[Points]]=0,"Flat","Perdant")))</f>
        <v>Perdant</v>
      </c>
      <c r="BI123" s="40">
        <f>IF(Table_BDD[[#This Row],[Position]]="","",IF(Table_BDD[[#This Row],[Résultat]]="Gagnant",1,0))</f>
        <v>0</v>
      </c>
      <c r="BJ123" s="40">
        <f>IF(Table_BDD[[#This Row],[Position]]="","",IF(Table_BDD[[#This Row],[Résultat]]="Perdant",1,0))</f>
        <v>1</v>
      </c>
      <c r="BK123" s="40"/>
      <c r="BL123" s="145">
        <f>IF(Table_BDD[[#This Row],[T / P]]="","",Table_BDD[[#This Row],[T / P]])</f>
        <v>29527.06</v>
      </c>
      <c r="BM123" s="147"/>
      <c r="BN123" s="147"/>
      <c r="BO123" s="147"/>
      <c r="BP123" s="147"/>
      <c r="BQ123" s="127"/>
    </row>
    <row r="124" spans="1:69" x14ac:dyDescent="0.2">
      <c r="A124" s="93">
        <v>43875.421666666669</v>
      </c>
      <c r="B124" s="94">
        <v>259951106</v>
      </c>
      <c r="C124" s="37" t="s">
        <v>8</v>
      </c>
      <c r="D124" s="37" t="s">
        <v>9</v>
      </c>
      <c r="E124" s="37">
        <v>0.5</v>
      </c>
      <c r="F124" s="95">
        <v>29443.16</v>
      </c>
      <c r="G124" s="95">
        <v>29433.22</v>
      </c>
      <c r="H124" s="95"/>
      <c r="I124" s="93">
        <v>43875.422233796293</v>
      </c>
      <c r="J124" s="95">
        <v>29433.15</v>
      </c>
      <c r="K124" s="95">
        <v>0</v>
      </c>
      <c r="L124" s="95">
        <v>0</v>
      </c>
      <c r="M124" s="32">
        <v>-4.62</v>
      </c>
      <c r="N124" s="148">
        <f>IF(Table_BDD[[#This Row],[Position]]="","",ROW()-3)</f>
        <v>121</v>
      </c>
      <c r="O124" s="32">
        <f>SUM($L$4:M124)</f>
        <v>-149.20999999999995</v>
      </c>
      <c r="P124" s="32">
        <f>Table_BDD[[#This Row],[Equité avant trade]]+Table_BDD[[#This Row],[Profit]]+Table_BDD[[#This Row],[Echange]]</f>
        <v>850.79000000000008</v>
      </c>
      <c r="Q124" s="52">
        <f>INT(Table_BDD[[#This Row],[Horodatage cloture]])</f>
        <v>43875</v>
      </c>
      <c r="R124" s="34">
        <f>WEEKNUM(Table_BDD[[#This Row],[Horodatage cloture]],2)</f>
        <v>7</v>
      </c>
      <c r="S124" s="61">
        <f>WEEKDAY(Table_BDD[[#This Row],[Horodatage cloture]])</f>
        <v>6</v>
      </c>
      <c r="T124" s="63">
        <f>HOUR(Table_BDD[[#This Row],[Horodatage cloture]])</f>
        <v>10</v>
      </c>
      <c r="U124" s="68">
        <f>IF(Table_BDD[[#This Row],[Position]]="","",IF(Table_BDD[[#This Row],[Valeur début de journée unique]]&lt;&gt;0,1,0))</f>
        <v>0</v>
      </c>
      <c r="V124" s="68" t="str">
        <f>IF(Table_BDD[[#This Row],[Nb de séance de trading]]=1,COUNTIF(Table_BDD[Date],Table_BDD[[#This Row],[Date]]),"")</f>
        <v/>
      </c>
      <c r="W124" s="33">
        <f>IF(Table_BDD[[#This Row],[Position]]="","",IF(Table_BDD[[#This Row],[Type]]="buy",ROUND(Table_BDD[[#This Row],[Lvl Entrée]]-Table_BDD[[#This Row],[S / L]],1),ROUND(Table_BDD[[#This Row],[S / L]]-Table_BDD[[#This Row],[Lvl Entrée]],1)))</f>
        <v>9.9</v>
      </c>
      <c r="X124" s="33">
        <f>IF(Table_BDD[[#This Row],[Position]]="","",IF(Table_BDD[[#This Row],[T / P]]=0,200,IF(Table_BDD[[#This Row],[Type]]="buy",ROUND(Table_BDD[[#This Row],[T / P]]-Table_BDD[[#This Row],[Lvl Entrée]],1),ROUND(Table_BDD[[#This Row],[Lvl Entrée]]-Table_BDD[[#This Row],[T / P]],1))))</f>
        <v>200</v>
      </c>
      <c r="Y124" s="34">
        <f>IF(Table_BDD[[#This Row],[Position]]="","",IF(Table_BDD[[#This Row],[Ecart du SL]]&gt;0,ROUND(ABS(Table_BDD[[#This Row],[Ecart du TP]])/ABS(Table_BDD[[#This Row],[Ecart du SL]]),1),ROUND(ABS(Table_BDD[[#This Row],[Ecart du TP]])/10,1)))</f>
        <v>20.2</v>
      </c>
      <c r="Z124" s="34">
        <f>IF(Table_BDD[[#This Row],[Position]]="","",IF(Table_BDD[[#This Row],[Ecart du SL]]&lt;0,IF(AND(Table_BDD[[#This Row],[Profit]]&gt;0,Table_BDD[[#This Row],[Type]]="sell"),ROUND((Table_BDD[[#This Row],[Lvl Entrée]]-Table_BDD[[#This Row],[Lvl Sortie]])/(10),1),IF(AND(Table_BDD[[#This Row],[Profit]]&gt;0,Table_BDD[[#This Row],[Type]]="buy"),ROUND((Table_BDD[[#This Row],[Lvl Sortie]]-Table_BDD[[#This Row],[Lvl Entrée]])/(10),1),)),IF(AND(Table_BDD[[#This Row],[Profit]]&gt;0,Table_BDD[[#This Row],[Type]]="sell"),ROUND((Table_BDD[[#This Row],[Lvl Entrée]]-Table_BDD[[#This Row],[Lvl Sortie]])/(Table_BDD[[#This Row],[S / L]]-Table_BDD[[#This Row],[Lvl Entrée]]),1),IF(AND(Table_BDD[[#This Row],[Profit]]&gt;0,Table_BDD[[#This Row],[Type]]="buy"),ROUND((Table_BDD[[#This Row],[Lvl Sortie]]-Table_BDD[[#This Row],[Lvl Entrée]])/(Table_BDD[[#This Row],[Lvl Entrée]]-Table_BDD[[#This Row],[S / L]]),1),ROUND(Table_BDD[[#This Row],[Points]]/10,1)))))</f>
        <v>-1</v>
      </c>
      <c r="AA124" s="32">
        <f>IF(Table_BDD[[#This Row],[Position]]="",AA123,Table_BDD[[#This Row],[Equité après trade]]-Table_BDD[[#This Row],[Profit]]-Table_BDD[[#This Row],[Echange]])</f>
        <v>855.41000000000008</v>
      </c>
      <c r="AB124" s="149">
        <f>$B$1+SUM($L$4:M124)</f>
        <v>850.79000000000008</v>
      </c>
      <c r="AC124" s="150">
        <f>IF(Table_BDD[[#This Row],[Position]]="","",_xlfn.MINIFS(Table_BDD[Horodatage ouverture],Table_BDD[Date],Table_BDD[Date]))</f>
        <v>43875.390983796293</v>
      </c>
      <c r="AD124" s="149">
        <f>VLOOKUP(_xlfn.MINIFS(Table_BDD[Horodatage ouverture],Table_BDD[Date],Table_BDD[Date]),Table_BDD[[Horodatage ouverture]:[Heure derniere valeur]],AA$2)</f>
        <v>867.85</v>
      </c>
      <c r="AE124" s="149">
        <f>IF(VLOOKUP(_xlfn.MINIFS(Table_BDD[Horodatage ouverture],Table_BDD[Date],Table_BDD[Date]),Table_BDD[[Horodatage ouverture]:[Heure derniere valeur]],AA$2)=Table_BDD[[#This Row],[Equité avant trade]],VLOOKUP(_xlfn.MINIFS(Table_BDD[Horodatage ouverture],Table_BDD[Date],Table_BDD[Date]),Table_BDD[[Horodatage ouverture]:[Heure derniere valeur]],AA$2),0)</f>
        <v>0</v>
      </c>
      <c r="AF124" s="150">
        <f>IF(Table_BDD[[#This Row],[Position]]="","",_xlfn.MAXIFS(Table_BDD[Horodatage ouverture],Table_BDD[Date],Table_BDD[Date]))</f>
        <v>43875.829016203701</v>
      </c>
      <c r="AG124" s="32">
        <f>VLOOKUP(_xlfn.MAXIFS(Table_BDD[Horodatage cloture],Table_BDD[Date],Table_BDD[Date]),Table_BDD[[Horodatage ouverture]:[Heure derniere valeur]],AB$2)</f>
        <v>775.01</v>
      </c>
      <c r="AH124" s="32">
        <f>IF(VLOOKUP(_xlfn.MAXIFS(Table_BDD[Horodatage cloture],Table_BDD[Date],Table_BDD[Date]),Table_BDD[[Horodatage ouverture]:[Heure derniere valeur]],AB$2)=Table_BDD[[#This Row],[Equité après trade]],VLOOKUP(_xlfn.MAXIFS(Table_BDD[Horodatage cloture],Table_BDD[Date],Table_BDD[Date]),Table_BDD[[Horodatage ouverture]:[Heure derniere valeur]],AB$2),0)</f>
        <v>0</v>
      </c>
      <c r="AI124" s="32" t="e">
        <f>IF(Table_BDD[[#This Row],[Valeur fin de journée unique]]=0,#N/A,Table_BDD[[#This Row],[Valeur fin de journée unique]])</f>
        <v>#N/A</v>
      </c>
      <c r="AJ124" s="35">
        <f>IF(Table_BDD[[#This Row],[Position]]="","",(Table_BDD[[#This Row],[Equité après trade]]-Table_BDD[[#This Row],[Equité avant trade]])/Table_BDD[[#This Row],[Equité avant trade]])</f>
        <v>-5.4009188576238341E-3</v>
      </c>
      <c r="AK124" s="35" t="str">
        <f>IFERROR(((INDEX(Table_BDD[[Trade n°]:[Valeur fin de journée unique]],Table_BDD[[#This Row],[Nb de trade du jour]]+Table_BDD[[#This Row],[Trade n°]]-1,21))-Table_BDD[[#This Row],[Valeur début de journée unique]])/Table_BDD[[#This Row],[Valeur début de journée unique]],"")</f>
        <v/>
      </c>
      <c r="AL124" s="32">
        <f>IF(Table_BDD[[#This Row],[Position]]="","",MAX(Table_BDD[[#This Row],[Cumul équité]],AL123))</f>
        <v>1052.8399999999999</v>
      </c>
      <c r="AM124" s="32">
        <f>IF(Table_BDD[[#This Row],[Position]]="","",MIN(Table_BDD[[#This Row],[Cumul équité]],AL123))</f>
        <v>850.79000000000008</v>
      </c>
      <c r="AN124" s="97">
        <f>IF(Table_BDD[[#This Row],[Sommet Drawdown]]&gt;AL123,"",Table_BDD[[#This Row],[Creux Drawdown]]/Table_BDD[[#This Row],[Sommet Drawdown]]-1)</f>
        <v>-0.19190950191862</v>
      </c>
      <c r="AO124" s="36">
        <f>IF(Table_BDD[[#This Row],[Position]]="","",IF(Table_BDD[[#This Row],[Type]]="buy",ROUND(Table_BDD[[#This Row],[Lvl Sortie]]-Table_BDD[[#This Row],[Lvl Entrée]],1),ROUND(Table_BDD[[#This Row],[Lvl Entrée]]-Table_BDD[[#This Row],[Lvl Sortie]],1)))</f>
        <v>-10</v>
      </c>
      <c r="AP124" s="36" t="str">
        <f>IF(Table_BDD[[#This Row],[Points]]&gt;0,Table_BDD[[#This Row],[Points]],"")</f>
        <v/>
      </c>
      <c r="AQ124" s="36">
        <f>IF(Table_BDD[[#This Row],[Points]]&lt;0,Table_BDD[[#This Row],[Points]],"")</f>
        <v>-10</v>
      </c>
      <c r="AR124" s="36">
        <f>SUM($AO$4:AO124)</f>
        <v>-324.7</v>
      </c>
      <c r="AS124" s="68">
        <f>IF(Table_BDD[[#This Row],[Position]]="","",IF(Table_BDD[[#This Row],[Conformité]]="Conforme",1,0))</f>
        <v>0</v>
      </c>
      <c r="AT124" s="68">
        <f>IF(Table_BDD[[#This Row],[Position]]="","",IF(Table_BDD[[#This Row],[Conformité]]="Non conforme",1,0))</f>
        <v>1</v>
      </c>
      <c r="AU124" s="37" t="s">
        <v>17</v>
      </c>
      <c r="AV124" s="37"/>
      <c r="AW124" s="37"/>
      <c r="AX124" s="37">
        <v>0</v>
      </c>
      <c r="AY124" s="37">
        <v>0</v>
      </c>
      <c r="AZ124" s="37">
        <v>0</v>
      </c>
      <c r="BA124" s="40" t="str">
        <f>IF(Table_BDD[[#This Row],[Position]]="","Sans objet",IF(AND(Table_BDD[[#This Row],[Type]]="sell",Table_BDD[[#This Row],[S / L]]&lt;Table_BDD[[#This Row],[Lvl Entrée]],Table_BDD[[#This Row],[Lvl Sortie]]&lt;=Table_BDD[[#This Row],[S / L]]+2,Table_BDD[[#This Row],[Lvl Sortie]]&lt;Table_BDD[[#This Row],[Lvl Entrée]]-19),"Oui",IF(AND(Table_BDD[[#This Row],[Type]]="buy",Table_BDD[[#This Row],[S / L]]&gt;Table_BDD[[#This Row],[Lvl Entrée]],Table_BDD[[#This Row],[Lvl Sortie]]&gt;=Table_BDD[[#This Row],[S / L]]-2,Table_BDD[[#This Row],[S / L]]&gt;Table_BDD[[#This Row],[Lvl Entrée]]+19),"Oui","Non")))</f>
        <v>Non</v>
      </c>
      <c r="BB124" s="40" t="str">
        <f>IF(Table_BDD[[#This Row],[Position]]="","Sans objet",IF(AND(Table_BDD[[#This Row],[Type]]="sell",Table_BDD[[#This Row],[S / L]]&lt;Table_BDD[[#This Row],[Lvl Entrée]],Table_BDD[[#This Row],[Points]]&gt;=-1),"Oui",IF(AND(Table_BDD[[#This Row],[Type]]="sell",Table_BDD[[#This Row],[S / L]]&gt;Table_BDD[[#This Row],[Lvl Entrée]]),"Non",IF(AND(Table_BDD[[#This Row],[Type]]="buy",Table_BDD[[#This Row],[S / L]]&lt;Table_BDD[[#This Row],[Lvl Entrée]]),"Non",IF(AND(Table_BDD[[#This Row],[Type]]="buy",Table_BDD[[#This Row],[S / L]]&gt;Table_BDD[[#This Row],[Lvl Entrée]],Table_BDD[[#This Row],[Points]]&gt;=-1),"Oui")))))</f>
        <v>Non</v>
      </c>
      <c r="BC124" s="40" t="str">
        <f>IF(Table_BDD[[#This Row],[Position]]="","Sans objet",IF(Table_BDD[[#This Row],[T / P]]="","Non",IF(AND(Table_BDD[[#This Row],[Type]]="sell",Table_BDD[[#This Row],[Lvl Sortie]]&lt;=Table_BDD[[#This Row],[T / P]]),"Oui",IF(AND(Table_BDD[[#This Row],[Type]]="buy",Table_BDD[[#This Row],[Lvl Sortie]]&gt;=Table_BDD[[#This Row],[T / P]]),"Oui","Non"))))</f>
        <v>Non</v>
      </c>
      <c r="BD124" s="91">
        <f t="array" ref="BD124">IFERROR(INDEX(downloadFile[#All],MATCH(Table_BDD[[#This Row],[Date]],downloadFile[[#All],[Column1]],0),2),BD123)</f>
        <v>1.0842000000000001</v>
      </c>
      <c r="BE124" s="89">
        <f>IF(Table_BDD[[#This Row],[Position]]="","",IF(Table_BDD[[#This Row],[Symbole]]="UsaInd",(Table_BDD[[#This Row],[Volume]]*Table_BDD[[#This Row],[Lvl Entrée]])/(Table_BDD[[#This Row],[Equité avant trade]]*Table_BDD[[#This Row],[EUR/USD]]),IF(Table_BDD[[#This Row],[Symbole]]="Ger30",(Table_BDD[[#This Row],[Volume]]*Table_BDD[[#This Row],[Lvl Entrée]])/Table_BDD[[#This Row],[Equité avant trade]],)))</f>
        <v>15.873426939970063</v>
      </c>
      <c r="BF124" s="38">
        <f>IF(Table_BDD[[#This Row],[Position]]="","",IF(Table_BDD[[#This Row],[Conformité]]="Non conforme",0,(MROUND(3*((Table_BDD[[#This Row],[Conviction]]+Table_BDD[[#This Row],[Timing]]+Table_BDD[[#This Row],[Sortie]])+1)-2,1))))</f>
        <v>0</v>
      </c>
      <c r="BG124" s="38" t="str">
        <f>IF(Table_BDD[[#This Row],[Position]]="","",IF(Table_BDD[[#This Row],[Points]]&lt;-5,"--",IF(AND(Table_BDD[[#This Row],[Points]]&gt;=-5,Table_BDD[[#This Row],[Points]]&lt;-1.5),"-",IF(AND(Table_BDD[[#This Row],[Points]]&gt;=-1.5,Table_BDD[[#This Row],[Points]]&lt;1.5),"0",IF(AND(Table_BDD[[#This Row],[Points]]&gt;=1.5,Table_BDD[[#This Row],[Points]]&lt;=70),"+",IF(Table_BDD[[#This Row],[Points]]&gt;70,"++"))))))</f>
        <v>--</v>
      </c>
      <c r="BH124" s="37" t="str">
        <f>IF(Table_BDD[[#This Row],[Position]]="","",IF(Table_BDD[[#This Row],[Points]]&gt;0,"Gagnant",IF(Table_BDD[[#This Row],[Points]]=0,"Flat","Perdant")))</f>
        <v>Perdant</v>
      </c>
      <c r="BI124" s="40">
        <f>IF(Table_BDD[[#This Row],[Position]]="","",IF(Table_BDD[[#This Row],[Résultat]]="Gagnant",1,0))</f>
        <v>0</v>
      </c>
      <c r="BJ124" s="40">
        <f>IF(Table_BDD[[#This Row],[Position]]="","",IF(Table_BDD[[#This Row],[Résultat]]="Perdant",1,0))</f>
        <v>1</v>
      </c>
      <c r="BK124" s="40"/>
      <c r="BL124" s="145" t="str">
        <f>IF(Table_BDD[[#This Row],[T / P]]="","",Table_BDD[[#This Row],[T / P]])</f>
        <v/>
      </c>
      <c r="BM124" s="147"/>
      <c r="BN124" s="147"/>
      <c r="BO124" s="147"/>
      <c r="BP124" s="147"/>
      <c r="BQ124" s="127"/>
    </row>
    <row r="125" spans="1:69" x14ac:dyDescent="0.2">
      <c r="A125" s="93">
        <v>43875.431342592594</v>
      </c>
      <c r="B125" s="94">
        <v>259952991</v>
      </c>
      <c r="C125" s="37" t="s">
        <v>8</v>
      </c>
      <c r="D125" s="37" t="s">
        <v>10</v>
      </c>
      <c r="E125" s="37">
        <v>0.5</v>
      </c>
      <c r="F125" s="95">
        <v>29460.2</v>
      </c>
      <c r="G125" s="95">
        <v>29470.2</v>
      </c>
      <c r="H125" s="95">
        <v>29400.2</v>
      </c>
      <c r="I125" s="93">
        <v>43875.446168981478</v>
      </c>
      <c r="J125" s="95">
        <v>29470.23</v>
      </c>
      <c r="K125" s="95">
        <v>0</v>
      </c>
      <c r="L125" s="95">
        <v>0</v>
      </c>
      <c r="M125" s="32">
        <v>-4.63</v>
      </c>
      <c r="N125" s="148">
        <f>IF(Table_BDD[[#This Row],[Position]]="","",ROW()-3)</f>
        <v>122</v>
      </c>
      <c r="O125" s="32">
        <f>SUM($L$4:M125)</f>
        <v>-153.83999999999995</v>
      </c>
      <c r="P125" s="32">
        <f>Table_BDD[[#This Row],[Equité avant trade]]+Table_BDD[[#This Row],[Profit]]+Table_BDD[[#This Row],[Echange]]</f>
        <v>846.16000000000008</v>
      </c>
      <c r="Q125" s="52">
        <f>INT(Table_BDD[[#This Row],[Horodatage cloture]])</f>
        <v>43875</v>
      </c>
      <c r="R125" s="34">
        <f>WEEKNUM(Table_BDD[[#This Row],[Horodatage cloture]],2)</f>
        <v>7</v>
      </c>
      <c r="S125" s="61">
        <f>WEEKDAY(Table_BDD[[#This Row],[Horodatage cloture]])</f>
        <v>6</v>
      </c>
      <c r="T125" s="63">
        <f>HOUR(Table_BDD[[#This Row],[Horodatage cloture]])</f>
        <v>10</v>
      </c>
      <c r="U125" s="68">
        <f>IF(Table_BDD[[#This Row],[Position]]="","",IF(Table_BDD[[#This Row],[Valeur début de journée unique]]&lt;&gt;0,1,0))</f>
        <v>0</v>
      </c>
      <c r="V125" s="68" t="str">
        <f>IF(Table_BDD[[#This Row],[Nb de séance de trading]]=1,COUNTIF(Table_BDD[Date],Table_BDD[[#This Row],[Date]]),"")</f>
        <v/>
      </c>
      <c r="W125" s="33">
        <f>IF(Table_BDD[[#This Row],[Position]]="","",IF(Table_BDD[[#This Row],[Type]]="buy",ROUND(Table_BDD[[#This Row],[Lvl Entrée]]-Table_BDD[[#This Row],[S / L]],1),ROUND(Table_BDD[[#This Row],[S / L]]-Table_BDD[[#This Row],[Lvl Entrée]],1)))</f>
        <v>10</v>
      </c>
      <c r="X125" s="33">
        <f>IF(Table_BDD[[#This Row],[Position]]="","",IF(Table_BDD[[#This Row],[T / P]]=0,200,IF(Table_BDD[[#This Row],[Type]]="buy",ROUND(Table_BDD[[#This Row],[T / P]]-Table_BDD[[#This Row],[Lvl Entrée]],1),ROUND(Table_BDD[[#This Row],[Lvl Entrée]]-Table_BDD[[#This Row],[T / P]],1))))</f>
        <v>60</v>
      </c>
      <c r="Y125" s="34">
        <f>IF(Table_BDD[[#This Row],[Position]]="","",IF(Table_BDD[[#This Row],[Ecart du SL]]&gt;0,ROUND(ABS(Table_BDD[[#This Row],[Ecart du TP]])/ABS(Table_BDD[[#This Row],[Ecart du SL]]),1),ROUND(ABS(Table_BDD[[#This Row],[Ecart du TP]])/10,1)))</f>
        <v>6</v>
      </c>
      <c r="Z125" s="34">
        <f>IF(Table_BDD[[#This Row],[Position]]="","",IF(Table_BDD[[#This Row],[Ecart du SL]]&lt;0,IF(AND(Table_BDD[[#This Row],[Profit]]&gt;0,Table_BDD[[#This Row],[Type]]="sell"),ROUND((Table_BDD[[#This Row],[Lvl Entrée]]-Table_BDD[[#This Row],[Lvl Sortie]])/(10),1),IF(AND(Table_BDD[[#This Row],[Profit]]&gt;0,Table_BDD[[#This Row],[Type]]="buy"),ROUND((Table_BDD[[#This Row],[Lvl Sortie]]-Table_BDD[[#This Row],[Lvl Entrée]])/(10),1),)),IF(AND(Table_BDD[[#This Row],[Profit]]&gt;0,Table_BDD[[#This Row],[Type]]="sell"),ROUND((Table_BDD[[#This Row],[Lvl Entrée]]-Table_BDD[[#This Row],[Lvl Sortie]])/(Table_BDD[[#This Row],[S / L]]-Table_BDD[[#This Row],[Lvl Entrée]]),1),IF(AND(Table_BDD[[#This Row],[Profit]]&gt;0,Table_BDD[[#This Row],[Type]]="buy"),ROUND((Table_BDD[[#This Row],[Lvl Sortie]]-Table_BDD[[#This Row],[Lvl Entrée]])/(Table_BDD[[#This Row],[Lvl Entrée]]-Table_BDD[[#This Row],[S / L]]),1),ROUND(Table_BDD[[#This Row],[Points]]/10,1)))))</f>
        <v>-1</v>
      </c>
      <c r="AA125" s="32">
        <f>IF(Table_BDD[[#This Row],[Position]]="",AA124,Table_BDD[[#This Row],[Equité après trade]]-Table_BDD[[#This Row],[Profit]]-Table_BDD[[#This Row],[Echange]])</f>
        <v>850.79000000000008</v>
      </c>
      <c r="AB125" s="149">
        <f>$B$1+SUM($L$4:M125)</f>
        <v>846.16000000000008</v>
      </c>
      <c r="AC125" s="150">
        <f>IF(Table_BDD[[#This Row],[Position]]="","",_xlfn.MINIFS(Table_BDD[Horodatage ouverture],Table_BDD[Date],Table_BDD[Date]))</f>
        <v>43875.390983796293</v>
      </c>
      <c r="AD125" s="149">
        <f>VLOOKUP(_xlfn.MINIFS(Table_BDD[Horodatage ouverture],Table_BDD[Date],Table_BDD[Date]),Table_BDD[[Horodatage ouverture]:[Heure derniere valeur]],AA$2)</f>
        <v>867.85</v>
      </c>
      <c r="AE125" s="149">
        <f>IF(VLOOKUP(_xlfn.MINIFS(Table_BDD[Horodatage ouverture],Table_BDD[Date],Table_BDD[Date]),Table_BDD[[Horodatage ouverture]:[Heure derniere valeur]],AA$2)=Table_BDD[[#This Row],[Equité avant trade]],VLOOKUP(_xlfn.MINIFS(Table_BDD[Horodatage ouverture],Table_BDD[Date],Table_BDD[Date]),Table_BDD[[Horodatage ouverture]:[Heure derniere valeur]],AA$2),0)</f>
        <v>0</v>
      </c>
      <c r="AF125" s="150">
        <f>IF(Table_BDD[[#This Row],[Position]]="","",_xlfn.MAXIFS(Table_BDD[Horodatage ouverture],Table_BDD[Date],Table_BDD[Date]))</f>
        <v>43875.829016203701</v>
      </c>
      <c r="AG125" s="32">
        <f>VLOOKUP(_xlfn.MAXIFS(Table_BDD[Horodatage cloture],Table_BDD[Date],Table_BDD[Date]),Table_BDD[[Horodatage ouverture]:[Heure derniere valeur]],AB$2)</f>
        <v>775.01</v>
      </c>
      <c r="AH125" s="32">
        <f>IF(VLOOKUP(_xlfn.MAXIFS(Table_BDD[Horodatage cloture],Table_BDD[Date],Table_BDD[Date]),Table_BDD[[Horodatage ouverture]:[Heure derniere valeur]],AB$2)=Table_BDD[[#This Row],[Equité après trade]],VLOOKUP(_xlfn.MAXIFS(Table_BDD[Horodatage cloture],Table_BDD[Date],Table_BDD[Date]),Table_BDD[[Horodatage ouverture]:[Heure derniere valeur]],AB$2),0)</f>
        <v>0</v>
      </c>
      <c r="AI125" s="32" t="e">
        <f>IF(Table_BDD[[#This Row],[Valeur fin de journée unique]]=0,#N/A,Table_BDD[[#This Row],[Valeur fin de journée unique]])</f>
        <v>#N/A</v>
      </c>
      <c r="AJ125" s="35">
        <f>IF(Table_BDD[[#This Row],[Position]]="","",(Table_BDD[[#This Row],[Equité après trade]]-Table_BDD[[#This Row],[Equité avant trade]])/Table_BDD[[#This Row],[Equité avant trade]])</f>
        <v>-5.4420009638101001E-3</v>
      </c>
      <c r="AK125" s="35" t="str">
        <f>IFERROR(((INDEX(Table_BDD[[Trade n°]:[Valeur fin de journée unique]],Table_BDD[[#This Row],[Nb de trade du jour]]+Table_BDD[[#This Row],[Trade n°]]-1,21))-Table_BDD[[#This Row],[Valeur début de journée unique]])/Table_BDD[[#This Row],[Valeur début de journée unique]],"")</f>
        <v/>
      </c>
      <c r="AL125" s="32">
        <f>IF(Table_BDD[[#This Row],[Position]]="","",MAX(Table_BDD[[#This Row],[Cumul équité]],AL124))</f>
        <v>1052.8399999999999</v>
      </c>
      <c r="AM125" s="32">
        <f>IF(Table_BDD[[#This Row],[Position]]="","",MIN(Table_BDD[[#This Row],[Cumul équité]],AL124))</f>
        <v>846.16000000000008</v>
      </c>
      <c r="AN125" s="97">
        <f>IF(Table_BDD[[#This Row],[Sommet Drawdown]]&gt;AL124,"",Table_BDD[[#This Row],[Creux Drawdown]]/Table_BDD[[#This Row],[Sommet Drawdown]]-1)</f>
        <v>-0.19630713118802467</v>
      </c>
      <c r="AO125" s="36">
        <f>IF(Table_BDD[[#This Row],[Position]]="","",IF(Table_BDD[[#This Row],[Type]]="buy",ROUND(Table_BDD[[#This Row],[Lvl Sortie]]-Table_BDD[[#This Row],[Lvl Entrée]],1),ROUND(Table_BDD[[#This Row],[Lvl Entrée]]-Table_BDD[[#This Row],[Lvl Sortie]],1)))</f>
        <v>-10</v>
      </c>
      <c r="AP125" s="36" t="str">
        <f>IF(Table_BDD[[#This Row],[Points]]&gt;0,Table_BDD[[#This Row],[Points]],"")</f>
        <v/>
      </c>
      <c r="AQ125" s="36">
        <f>IF(Table_BDD[[#This Row],[Points]]&lt;0,Table_BDD[[#This Row],[Points]],"")</f>
        <v>-10</v>
      </c>
      <c r="AR125" s="36">
        <f>SUM($AO$4:AO125)</f>
        <v>-334.7</v>
      </c>
      <c r="AS125" s="68">
        <f>IF(Table_BDD[[#This Row],[Position]]="","",IF(Table_BDD[[#This Row],[Conformité]]="Conforme",1,0))</f>
        <v>0</v>
      </c>
      <c r="AT125" s="68">
        <f>IF(Table_BDD[[#This Row],[Position]]="","",IF(Table_BDD[[#This Row],[Conformité]]="Non conforme",1,0))</f>
        <v>1</v>
      </c>
      <c r="AU125" s="37" t="s">
        <v>17</v>
      </c>
      <c r="AV125" s="37"/>
      <c r="AW125" s="37"/>
      <c r="AX125" s="37">
        <v>0</v>
      </c>
      <c r="AY125" s="37">
        <v>0</v>
      </c>
      <c r="AZ125" s="37">
        <v>0</v>
      </c>
      <c r="BA125" s="40" t="str">
        <f>IF(Table_BDD[[#This Row],[Position]]="","Sans objet",IF(AND(Table_BDD[[#This Row],[Type]]="sell",Table_BDD[[#This Row],[S / L]]&lt;Table_BDD[[#This Row],[Lvl Entrée]],Table_BDD[[#This Row],[Lvl Sortie]]&lt;=Table_BDD[[#This Row],[S / L]]+2,Table_BDD[[#This Row],[Lvl Sortie]]&lt;Table_BDD[[#This Row],[Lvl Entrée]]-19),"Oui",IF(AND(Table_BDD[[#This Row],[Type]]="buy",Table_BDD[[#This Row],[S / L]]&gt;Table_BDD[[#This Row],[Lvl Entrée]],Table_BDD[[#This Row],[Lvl Sortie]]&gt;=Table_BDD[[#This Row],[S / L]]-2,Table_BDD[[#This Row],[S / L]]&gt;Table_BDD[[#This Row],[Lvl Entrée]]+19),"Oui","Non")))</f>
        <v>Non</v>
      </c>
      <c r="BB125" s="40" t="str">
        <f>IF(Table_BDD[[#This Row],[Position]]="","Sans objet",IF(AND(Table_BDD[[#This Row],[Type]]="sell",Table_BDD[[#This Row],[S / L]]&lt;Table_BDD[[#This Row],[Lvl Entrée]],Table_BDD[[#This Row],[Points]]&gt;=-1),"Oui",IF(AND(Table_BDD[[#This Row],[Type]]="sell",Table_BDD[[#This Row],[S / L]]&gt;Table_BDD[[#This Row],[Lvl Entrée]]),"Non",IF(AND(Table_BDD[[#This Row],[Type]]="buy",Table_BDD[[#This Row],[S / L]]&lt;Table_BDD[[#This Row],[Lvl Entrée]]),"Non",IF(AND(Table_BDD[[#This Row],[Type]]="buy",Table_BDD[[#This Row],[S / L]]&gt;Table_BDD[[#This Row],[Lvl Entrée]],Table_BDD[[#This Row],[Points]]&gt;=-1),"Oui")))))</f>
        <v>Non</v>
      </c>
      <c r="BC125" s="40" t="str">
        <f>IF(Table_BDD[[#This Row],[Position]]="","Sans objet",IF(Table_BDD[[#This Row],[T / P]]="","Non",IF(AND(Table_BDD[[#This Row],[Type]]="sell",Table_BDD[[#This Row],[Lvl Sortie]]&lt;=Table_BDD[[#This Row],[T / P]]),"Oui",IF(AND(Table_BDD[[#This Row],[Type]]="buy",Table_BDD[[#This Row],[Lvl Sortie]]&gt;=Table_BDD[[#This Row],[T / P]]),"Oui","Non"))))</f>
        <v>Non</v>
      </c>
      <c r="BD125" s="91">
        <f t="array" ref="BD125">IFERROR(INDEX(downloadFile[#All],MATCH(Table_BDD[[#This Row],[Date]],downloadFile[[#All],[Column1]],0),2),BD124)</f>
        <v>1.0842000000000001</v>
      </c>
      <c r="BE125" s="89">
        <f>IF(Table_BDD[[#This Row],[Position]]="","",IF(Table_BDD[[#This Row],[Symbole]]="UsaInd",(Table_BDD[[#This Row],[Volume]]*Table_BDD[[#This Row],[Lvl Entrée]])/(Table_BDD[[#This Row],[Equité avant trade]]*Table_BDD[[#This Row],[EUR/USD]]),IF(Table_BDD[[#This Row],[Symbole]]="Ger30",(Table_BDD[[#This Row],[Volume]]*Table_BDD[[#This Row],[Lvl Entrée]])/Table_BDD[[#This Row],[Equité avant trade]],)))</f>
        <v>15.968860079974412</v>
      </c>
      <c r="BF125" s="38">
        <f>IF(Table_BDD[[#This Row],[Position]]="","",IF(Table_BDD[[#This Row],[Conformité]]="Non conforme",0,(MROUND(3*((Table_BDD[[#This Row],[Conviction]]+Table_BDD[[#This Row],[Timing]]+Table_BDD[[#This Row],[Sortie]])+1)-2,1))))</f>
        <v>0</v>
      </c>
      <c r="BG125" s="38" t="str">
        <f>IF(Table_BDD[[#This Row],[Position]]="","",IF(Table_BDD[[#This Row],[Points]]&lt;-5,"--",IF(AND(Table_BDD[[#This Row],[Points]]&gt;=-5,Table_BDD[[#This Row],[Points]]&lt;-1.5),"-",IF(AND(Table_BDD[[#This Row],[Points]]&gt;=-1.5,Table_BDD[[#This Row],[Points]]&lt;1.5),"0",IF(AND(Table_BDD[[#This Row],[Points]]&gt;=1.5,Table_BDD[[#This Row],[Points]]&lt;=70),"+",IF(Table_BDD[[#This Row],[Points]]&gt;70,"++"))))))</f>
        <v>--</v>
      </c>
      <c r="BH125" s="37" t="str">
        <f>IF(Table_BDD[[#This Row],[Position]]="","",IF(Table_BDD[[#This Row],[Points]]&gt;0,"Gagnant",IF(Table_BDD[[#This Row],[Points]]=0,"Flat","Perdant")))</f>
        <v>Perdant</v>
      </c>
      <c r="BI125" s="40">
        <f>IF(Table_BDD[[#This Row],[Position]]="","",IF(Table_BDD[[#This Row],[Résultat]]="Gagnant",1,0))</f>
        <v>0</v>
      </c>
      <c r="BJ125" s="40">
        <f>IF(Table_BDD[[#This Row],[Position]]="","",IF(Table_BDD[[#This Row],[Résultat]]="Perdant",1,0))</f>
        <v>1</v>
      </c>
      <c r="BK125" s="40"/>
      <c r="BL125" s="145">
        <f>IF(Table_BDD[[#This Row],[T / P]]="","",Table_BDD[[#This Row],[T / P]])</f>
        <v>29400.2</v>
      </c>
      <c r="BM125" s="147"/>
      <c r="BN125" s="147"/>
      <c r="BO125" s="147"/>
      <c r="BP125" s="147"/>
      <c r="BQ125" s="127"/>
    </row>
    <row r="126" spans="1:69" x14ac:dyDescent="0.2">
      <c r="A126" s="93">
        <v>43875.459444444445</v>
      </c>
      <c r="B126" s="94">
        <v>259957219</v>
      </c>
      <c r="C126" s="37" t="s">
        <v>8</v>
      </c>
      <c r="D126" s="37" t="s">
        <v>9</v>
      </c>
      <c r="E126" s="37">
        <v>0.5</v>
      </c>
      <c r="F126" s="95">
        <v>29466.37</v>
      </c>
      <c r="G126" s="95">
        <v>29456.37</v>
      </c>
      <c r="H126" s="95">
        <v>29586.37</v>
      </c>
      <c r="I126" s="93">
        <v>43875.508657407408</v>
      </c>
      <c r="J126" s="95">
        <v>29456.3</v>
      </c>
      <c r="K126" s="95">
        <v>0</v>
      </c>
      <c r="L126" s="95">
        <v>0</v>
      </c>
      <c r="M126" s="32">
        <v>-4.6500000000000004</v>
      </c>
      <c r="N126" s="148">
        <f>IF(Table_BDD[[#This Row],[Position]]="","",ROW()-3)</f>
        <v>123</v>
      </c>
      <c r="O126" s="32">
        <f>SUM($L$4:M126)</f>
        <v>-158.48999999999995</v>
      </c>
      <c r="P126" s="32">
        <f>Table_BDD[[#This Row],[Equité avant trade]]+Table_BDD[[#This Row],[Profit]]+Table_BDD[[#This Row],[Echange]]</f>
        <v>841.51</v>
      </c>
      <c r="Q126" s="52">
        <f>INT(Table_BDD[[#This Row],[Horodatage cloture]])</f>
        <v>43875</v>
      </c>
      <c r="R126" s="34">
        <f>WEEKNUM(Table_BDD[[#This Row],[Horodatage cloture]],2)</f>
        <v>7</v>
      </c>
      <c r="S126" s="61">
        <f>WEEKDAY(Table_BDD[[#This Row],[Horodatage cloture]])</f>
        <v>6</v>
      </c>
      <c r="T126" s="63">
        <f>HOUR(Table_BDD[[#This Row],[Horodatage cloture]])</f>
        <v>12</v>
      </c>
      <c r="U126" s="68">
        <f>IF(Table_BDD[[#This Row],[Position]]="","",IF(Table_BDD[[#This Row],[Valeur début de journée unique]]&lt;&gt;0,1,0))</f>
        <v>0</v>
      </c>
      <c r="V126" s="68" t="str">
        <f>IF(Table_BDD[[#This Row],[Nb de séance de trading]]=1,COUNTIF(Table_BDD[Date],Table_BDD[[#This Row],[Date]]),"")</f>
        <v/>
      </c>
      <c r="W126" s="33">
        <f>IF(Table_BDD[[#This Row],[Position]]="","",IF(Table_BDD[[#This Row],[Type]]="buy",ROUND(Table_BDD[[#This Row],[Lvl Entrée]]-Table_BDD[[#This Row],[S / L]],1),ROUND(Table_BDD[[#This Row],[S / L]]-Table_BDD[[#This Row],[Lvl Entrée]],1)))</f>
        <v>10</v>
      </c>
      <c r="X126" s="33">
        <f>IF(Table_BDD[[#This Row],[Position]]="","",IF(Table_BDD[[#This Row],[T / P]]=0,200,IF(Table_BDD[[#This Row],[Type]]="buy",ROUND(Table_BDD[[#This Row],[T / P]]-Table_BDD[[#This Row],[Lvl Entrée]],1),ROUND(Table_BDD[[#This Row],[Lvl Entrée]]-Table_BDD[[#This Row],[T / P]],1))))</f>
        <v>120</v>
      </c>
      <c r="Y126" s="34">
        <f>IF(Table_BDD[[#This Row],[Position]]="","",IF(Table_BDD[[#This Row],[Ecart du SL]]&gt;0,ROUND(ABS(Table_BDD[[#This Row],[Ecart du TP]])/ABS(Table_BDD[[#This Row],[Ecart du SL]]),1),ROUND(ABS(Table_BDD[[#This Row],[Ecart du TP]])/10,1)))</f>
        <v>12</v>
      </c>
      <c r="Z126" s="34">
        <f>IF(Table_BDD[[#This Row],[Position]]="","",IF(Table_BDD[[#This Row],[Ecart du SL]]&lt;0,IF(AND(Table_BDD[[#This Row],[Profit]]&gt;0,Table_BDD[[#This Row],[Type]]="sell"),ROUND((Table_BDD[[#This Row],[Lvl Entrée]]-Table_BDD[[#This Row],[Lvl Sortie]])/(10),1),IF(AND(Table_BDD[[#This Row],[Profit]]&gt;0,Table_BDD[[#This Row],[Type]]="buy"),ROUND((Table_BDD[[#This Row],[Lvl Sortie]]-Table_BDD[[#This Row],[Lvl Entrée]])/(10),1),)),IF(AND(Table_BDD[[#This Row],[Profit]]&gt;0,Table_BDD[[#This Row],[Type]]="sell"),ROUND((Table_BDD[[#This Row],[Lvl Entrée]]-Table_BDD[[#This Row],[Lvl Sortie]])/(Table_BDD[[#This Row],[S / L]]-Table_BDD[[#This Row],[Lvl Entrée]]),1),IF(AND(Table_BDD[[#This Row],[Profit]]&gt;0,Table_BDD[[#This Row],[Type]]="buy"),ROUND((Table_BDD[[#This Row],[Lvl Sortie]]-Table_BDD[[#This Row],[Lvl Entrée]])/(Table_BDD[[#This Row],[Lvl Entrée]]-Table_BDD[[#This Row],[S / L]]),1),ROUND(Table_BDD[[#This Row],[Points]]/10,1)))))</f>
        <v>-1</v>
      </c>
      <c r="AA126" s="32">
        <f>IF(Table_BDD[[#This Row],[Position]]="",AA125,Table_BDD[[#This Row],[Equité après trade]]-Table_BDD[[#This Row],[Profit]]-Table_BDD[[#This Row],[Echange]])</f>
        <v>846.16</v>
      </c>
      <c r="AB126" s="149">
        <f>$B$1+SUM($L$4:M126)</f>
        <v>841.51</v>
      </c>
      <c r="AC126" s="150">
        <f>IF(Table_BDD[[#This Row],[Position]]="","",_xlfn.MINIFS(Table_BDD[Horodatage ouverture],Table_BDD[Date],Table_BDD[Date]))</f>
        <v>43875.390983796293</v>
      </c>
      <c r="AD126" s="149">
        <f>VLOOKUP(_xlfn.MINIFS(Table_BDD[Horodatage ouverture],Table_BDD[Date],Table_BDD[Date]),Table_BDD[[Horodatage ouverture]:[Heure derniere valeur]],AA$2)</f>
        <v>867.85</v>
      </c>
      <c r="AE126" s="149">
        <f>IF(VLOOKUP(_xlfn.MINIFS(Table_BDD[Horodatage ouverture],Table_BDD[Date],Table_BDD[Date]),Table_BDD[[Horodatage ouverture]:[Heure derniere valeur]],AA$2)=Table_BDD[[#This Row],[Equité avant trade]],VLOOKUP(_xlfn.MINIFS(Table_BDD[Horodatage ouverture],Table_BDD[Date],Table_BDD[Date]),Table_BDD[[Horodatage ouverture]:[Heure derniere valeur]],AA$2),0)</f>
        <v>0</v>
      </c>
      <c r="AF126" s="150">
        <f>IF(Table_BDD[[#This Row],[Position]]="","",_xlfn.MAXIFS(Table_BDD[Horodatage ouverture],Table_BDD[Date],Table_BDD[Date]))</f>
        <v>43875.829016203701</v>
      </c>
      <c r="AG126" s="32">
        <f>VLOOKUP(_xlfn.MAXIFS(Table_BDD[Horodatage cloture],Table_BDD[Date],Table_BDD[Date]),Table_BDD[[Horodatage ouverture]:[Heure derniere valeur]],AB$2)</f>
        <v>775.01</v>
      </c>
      <c r="AH126" s="32">
        <f>IF(VLOOKUP(_xlfn.MAXIFS(Table_BDD[Horodatage cloture],Table_BDD[Date],Table_BDD[Date]),Table_BDD[[Horodatage ouverture]:[Heure derniere valeur]],AB$2)=Table_BDD[[#This Row],[Equité après trade]],VLOOKUP(_xlfn.MAXIFS(Table_BDD[Horodatage cloture],Table_BDD[Date],Table_BDD[Date]),Table_BDD[[Horodatage ouverture]:[Heure derniere valeur]],AB$2),0)</f>
        <v>0</v>
      </c>
      <c r="AI126" s="32" t="e">
        <f>IF(Table_BDD[[#This Row],[Valeur fin de journée unique]]=0,#N/A,Table_BDD[[#This Row],[Valeur fin de journée unique]])</f>
        <v>#N/A</v>
      </c>
      <c r="AJ126" s="35">
        <f>IF(Table_BDD[[#This Row],[Position]]="","",(Table_BDD[[#This Row],[Equité après trade]]-Table_BDD[[#This Row],[Equité avant trade]])/Table_BDD[[#This Row],[Equité avant trade]])</f>
        <v>-5.4954145788030364E-3</v>
      </c>
      <c r="AK126" s="35" t="str">
        <f>IFERROR(((INDEX(Table_BDD[[Trade n°]:[Valeur fin de journée unique]],Table_BDD[[#This Row],[Nb de trade du jour]]+Table_BDD[[#This Row],[Trade n°]]-1,21))-Table_BDD[[#This Row],[Valeur début de journée unique]])/Table_BDD[[#This Row],[Valeur début de journée unique]],"")</f>
        <v/>
      </c>
      <c r="AL126" s="32">
        <f>IF(Table_BDD[[#This Row],[Position]]="","",MAX(Table_BDD[[#This Row],[Cumul équité]],AL125))</f>
        <v>1052.8399999999999</v>
      </c>
      <c r="AM126" s="32">
        <f>IF(Table_BDD[[#This Row],[Position]]="","",MIN(Table_BDD[[#This Row],[Cumul équité]],AL125))</f>
        <v>841.51</v>
      </c>
      <c r="AN126" s="97">
        <f>IF(Table_BDD[[#This Row],[Sommet Drawdown]]&gt;AL125,"",Table_BDD[[#This Row],[Creux Drawdown]]/Table_BDD[[#This Row],[Sommet Drawdown]]-1)</f>
        <v>-0.20072375669617415</v>
      </c>
      <c r="AO126" s="36">
        <f>IF(Table_BDD[[#This Row],[Position]]="","",IF(Table_BDD[[#This Row],[Type]]="buy",ROUND(Table_BDD[[#This Row],[Lvl Sortie]]-Table_BDD[[#This Row],[Lvl Entrée]],1),ROUND(Table_BDD[[#This Row],[Lvl Entrée]]-Table_BDD[[#This Row],[Lvl Sortie]],1)))</f>
        <v>-10.1</v>
      </c>
      <c r="AP126" s="36" t="str">
        <f>IF(Table_BDD[[#This Row],[Points]]&gt;0,Table_BDD[[#This Row],[Points]],"")</f>
        <v/>
      </c>
      <c r="AQ126" s="36">
        <f>IF(Table_BDD[[#This Row],[Points]]&lt;0,Table_BDD[[#This Row],[Points]],"")</f>
        <v>-10.1</v>
      </c>
      <c r="AR126" s="36">
        <f>SUM($AO$4:AO126)</f>
        <v>-344.8</v>
      </c>
      <c r="AS126" s="68">
        <f>IF(Table_BDD[[#This Row],[Position]]="","",IF(Table_BDD[[#This Row],[Conformité]]="Conforme",1,0))</f>
        <v>0</v>
      </c>
      <c r="AT126" s="68">
        <f>IF(Table_BDD[[#This Row],[Position]]="","",IF(Table_BDD[[#This Row],[Conformité]]="Non conforme",1,0))</f>
        <v>1</v>
      </c>
      <c r="AU126" s="37" t="s">
        <v>17</v>
      </c>
      <c r="AV126" s="37"/>
      <c r="AW126" s="37"/>
      <c r="AX126" s="37">
        <v>0</v>
      </c>
      <c r="AY126" s="37">
        <v>0</v>
      </c>
      <c r="AZ126" s="37">
        <v>0</v>
      </c>
      <c r="BA126" s="40" t="str">
        <f>IF(Table_BDD[[#This Row],[Position]]="","Sans objet",IF(AND(Table_BDD[[#This Row],[Type]]="sell",Table_BDD[[#This Row],[S / L]]&lt;Table_BDD[[#This Row],[Lvl Entrée]],Table_BDD[[#This Row],[Lvl Sortie]]&lt;=Table_BDD[[#This Row],[S / L]]+2,Table_BDD[[#This Row],[Lvl Sortie]]&lt;Table_BDD[[#This Row],[Lvl Entrée]]-19),"Oui",IF(AND(Table_BDD[[#This Row],[Type]]="buy",Table_BDD[[#This Row],[S / L]]&gt;Table_BDD[[#This Row],[Lvl Entrée]],Table_BDD[[#This Row],[Lvl Sortie]]&gt;=Table_BDD[[#This Row],[S / L]]-2,Table_BDD[[#This Row],[S / L]]&gt;Table_BDD[[#This Row],[Lvl Entrée]]+19),"Oui","Non")))</f>
        <v>Non</v>
      </c>
      <c r="BB126" s="40" t="str">
        <f>IF(Table_BDD[[#This Row],[Position]]="","Sans objet",IF(AND(Table_BDD[[#This Row],[Type]]="sell",Table_BDD[[#This Row],[S / L]]&lt;Table_BDD[[#This Row],[Lvl Entrée]],Table_BDD[[#This Row],[Points]]&gt;=-1),"Oui",IF(AND(Table_BDD[[#This Row],[Type]]="sell",Table_BDD[[#This Row],[S / L]]&gt;Table_BDD[[#This Row],[Lvl Entrée]]),"Non",IF(AND(Table_BDD[[#This Row],[Type]]="buy",Table_BDD[[#This Row],[S / L]]&lt;Table_BDD[[#This Row],[Lvl Entrée]]),"Non",IF(AND(Table_BDD[[#This Row],[Type]]="buy",Table_BDD[[#This Row],[S / L]]&gt;Table_BDD[[#This Row],[Lvl Entrée]],Table_BDD[[#This Row],[Points]]&gt;=-1),"Oui")))))</f>
        <v>Non</v>
      </c>
      <c r="BC126" s="40" t="str">
        <f>IF(Table_BDD[[#This Row],[Position]]="","Sans objet",IF(Table_BDD[[#This Row],[T / P]]="","Non",IF(AND(Table_BDD[[#This Row],[Type]]="sell",Table_BDD[[#This Row],[Lvl Sortie]]&lt;=Table_BDD[[#This Row],[T / P]]),"Oui",IF(AND(Table_BDD[[#This Row],[Type]]="buy",Table_BDD[[#This Row],[Lvl Sortie]]&gt;=Table_BDD[[#This Row],[T / P]]),"Oui","Non"))))</f>
        <v>Non</v>
      </c>
      <c r="BD126" s="91">
        <f t="array" ref="BD126">IFERROR(INDEX(downloadFile[#All],MATCH(Table_BDD[[#This Row],[Date]],downloadFile[[#All],[Column1]],0),2),BD125)</f>
        <v>1.0842000000000001</v>
      </c>
      <c r="BE126" s="89">
        <f>IF(Table_BDD[[#This Row],[Position]]="","",IF(Table_BDD[[#This Row],[Symbole]]="UsaInd",(Table_BDD[[#This Row],[Volume]]*Table_BDD[[#This Row],[Lvl Entrée]])/(Table_BDD[[#This Row],[Equité avant trade]]*Table_BDD[[#This Row],[EUR/USD]]),IF(Table_BDD[[#This Row],[Symbole]]="Ger30",(Table_BDD[[#This Row],[Volume]]*Table_BDD[[#This Row],[Lvl Entrée]])/Table_BDD[[#This Row],[Equité avant trade]],)))</f>
        <v>16.059600883303801</v>
      </c>
      <c r="BF126" s="38">
        <f>IF(Table_BDD[[#This Row],[Position]]="","",IF(Table_BDD[[#This Row],[Conformité]]="Non conforme",0,(MROUND(3*((Table_BDD[[#This Row],[Conviction]]+Table_BDD[[#This Row],[Timing]]+Table_BDD[[#This Row],[Sortie]])+1)-2,1))))</f>
        <v>0</v>
      </c>
      <c r="BG126" s="38" t="str">
        <f>IF(Table_BDD[[#This Row],[Position]]="","",IF(Table_BDD[[#This Row],[Points]]&lt;-5,"--",IF(AND(Table_BDD[[#This Row],[Points]]&gt;=-5,Table_BDD[[#This Row],[Points]]&lt;-1.5),"-",IF(AND(Table_BDD[[#This Row],[Points]]&gt;=-1.5,Table_BDD[[#This Row],[Points]]&lt;1.5),"0",IF(AND(Table_BDD[[#This Row],[Points]]&gt;=1.5,Table_BDD[[#This Row],[Points]]&lt;=70),"+",IF(Table_BDD[[#This Row],[Points]]&gt;70,"++"))))))</f>
        <v>--</v>
      </c>
      <c r="BH126" s="37" t="str">
        <f>IF(Table_BDD[[#This Row],[Position]]="","",IF(Table_BDD[[#This Row],[Points]]&gt;0,"Gagnant",IF(Table_BDD[[#This Row],[Points]]=0,"Flat","Perdant")))</f>
        <v>Perdant</v>
      </c>
      <c r="BI126" s="40">
        <f>IF(Table_BDD[[#This Row],[Position]]="","",IF(Table_BDD[[#This Row],[Résultat]]="Gagnant",1,0))</f>
        <v>0</v>
      </c>
      <c r="BJ126" s="40">
        <f>IF(Table_BDD[[#This Row],[Position]]="","",IF(Table_BDD[[#This Row],[Résultat]]="Perdant",1,0))</f>
        <v>1</v>
      </c>
      <c r="BK126" s="40"/>
      <c r="BL126" s="145">
        <f>IF(Table_BDD[[#This Row],[T / P]]="","",Table_BDD[[#This Row],[T / P]])</f>
        <v>29586.37</v>
      </c>
      <c r="BM126" s="147"/>
      <c r="BN126" s="147"/>
      <c r="BO126" s="147"/>
      <c r="BP126" s="147"/>
      <c r="BQ126" s="127"/>
    </row>
    <row r="127" spans="1:69" x14ac:dyDescent="0.2">
      <c r="A127" s="93">
        <v>43875.650879629633</v>
      </c>
      <c r="B127" s="94">
        <v>259981344</v>
      </c>
      <c r="C127" s="37" t="s">
        <v>8</v>
      </c>
      <c r="D127" s="37" t="s">
        <v>9</v>
      </c>
      <c r="E127" s="37">
        <v>0.5</v>
      </c>
      <c r="F127" s="95">
        <v>29405.51</v>
      </c>
      <c r="G127" s="95">
        <v>29395.51</v>
      </c>
      <c r="H127" s="95"/>
      <c r="I127" s="93">
        <v>43875.651678240742</v>
      </c>
      <c r="J127" s="95">
        <v>29395.47</v>
      </c>
      <c r="K127" s="95">
        <v>0</v>
      </c>
      <c r="L127" s="95">
        <v>0</v>
      </c>
      <c r="M127" s="32">
        <v>-4.62</v>
      </c>
      <c r="N127" s="148">
        <f>IF(Table_BDD[[#This Row],[Position]]="","",ROW()-3)</f>
        <v>124</v>
      </c>
      <c r="O127" s="32">
        <f>SUM($L$4:M127)</f>
        <v>-163.10999999999996</v>
      </c>
      <c r="P127" s="32">
        <f>Table_BDD[[#This Row],[Equité avant trade]]+Table_BDD[[#This Row],[Profit]]+Table_BDD[[#This Row],[Echange]]</f>
        <v>836.8900000000001</v>
      </c>
      <c r="Q127" s="52">
        <f>INT(Table_BDD[[#This Row],[Horodatage cloture]])</f>
        <v>43875</v>
      </c>
      <c r="R127" s="34">
        <f>WEEKNUM(Table_BDD[[#This Row],[Horodatage cloture]],2)</f>
        <v>7</v>
      </c>
      <c r="S127" s="61">
        <f>WEEKDAY(Table_BDD[[#This Row],[Horodatage cloture]])</f>
        <v>6</v>
      </c>
      <c r="T127" s="63">
        <f>HOUR(Table_BDD[[#This Row],[Horodatage cloture]])</f>
        <v>15</v>
      </c>
      <c r="U127" s="68">
        <f>IF(Table_BDD[[#This Row],[Position]]="","",IF(Table_BDD[[#This Row],[Valeur début de journée unique]]&lt;&gt;0,1,0))</f>
        <v>0</v>
      </c>
      <c r="V127" s="68" t="str">
        <f>IF(Table_BDD[[#This Row],[Nb de séance de trading]]=1,COUNTIF(Table_BDD[Date],Table_BDD[[#This Row],[Date]]),"")</f>
        <v/>
      </c>
      <c r="W127" s="33">
        <f>IF(Table_BDD[[#This Row],[Position]]="","",IF(Table_BDD[[#This Row],[Type]]="buy",ROUND(Table_BDD[[#This Row],[Lvl Entrée]]-Table_BDD[[#This Row],[S / L]],1),ROUND(Table_BDD[[#This Row],[S / L]]-Table_BDD[[#This Row],[Lvl Entrée]],1)))</f>
        <v>10</v>
      </c>
      <c r="X127" s="33">
        <f>IF(Table_BDD[[#This Row],[Position]]="","",IF(Table_BDD[[#This Row],[T / P]]=0,200,IF(Table_BDD[[#This Row],[Type]]="buy",ROUND(Table_BDD[[#This Row],[T / P]]-Table_BDD[[#This Row],[Lvl Entrée]],1),ROUND(Table_BDD[[#This Row],[Lvl Entrée]]-Table_BDD[[#This Row],[T / P]],1))))</f>
        <v>200</v>
      </c>
      <c r="Y127" s="34">
        <f>IF(Table_BDD[[#This Row],[Position]]="","",IF(Table_BDD[[#This Row],[Ecart du SL]]&gt;0,ROUND(ABS(Table_BDD[[#This Row],[Ecart du TP]])/ABS(Table_BDD[[#This Row],[Ecart du SL]]),1),ROUND(ABS(Table_BDD[[#This Row],[Ecart du TP]])/10,1)))</f>
        <v>20</v>
      </c>
      <c r="Z127" s="34">
        <f>IF(Table_BDD[[#This Row],[Position]]="","",IF(Table_BDD[[#This Row],[Ecart du SL]]&lt;0,IF(AND(Table_BDD[[#This Row],[Profit]]&gt;0,Table_BDD[[#This Row],[Type]]="sell"),ROUND((Table_BDD[[#This Row],[Lvl Entrée]]-Table_BDD[[#This Row],[Lvl Sortie]])/(10),1),IF(AND(Table_BDD[[#This Row],[Profit]]&gt;0,Table_BDD[[#This Row],[Type]]="buy"),ROUND((Table_BDD[[#This Row],[Lvl Sortie]]-Table_BDD[[#This Row],[Lvl Entrée]])/(10),1),)),IF(AND(Table_BDD[[#This Row],[Profit]]&gt;0,Table_BDD[[#This Row],[Type]]="sell"),ROUND((Table_BDD[[#This Row],[Lvl Entrée]]-Table_BDD[[#This Row],[Lvl Sortie]])/(Table_BDD[[#This Row],[S / L]]-Table_BDD[[#This Row],[Lvl Entrée]]),1),IF(AND(Table_BDD[[#This Row],[Profit]]&gt;0,Table_BDD[[#This Row],[Type]]="buy"),ROUND((Table_BDD[[#This Row],[Lvl Sortie]]-Table_BDD[[#This Row],[Lvl Entrée]])/(Table_BDD[[#This Row],[Lvl Entrée]]-Table_BDD[[#This Row],[S / L]]),1),ROUND(Table_BDD[[#This Row],[Points]]/10,1)))))</f>
        <v>-1</v>
      </c>
      <c r="AA127" s="32">
        <f>IF(Table_BDD[[#This Row],[Position]]="",AA126,Table_BDD[[#This Row],[Equité après trade]]-Table_BDD[[#This Row],[Profit]]-Table_BDD[[#This Row],[Echange]])</f>
        <v>841.5100000000001</v>
      </c>
      <c r="AB127" s="149">
        <f>$B$1+SUM($L$4:M127)</f>
        <v>836.8900000000001</v>
      </c>
      <c r="AC127" s="150">
        <f>IF(Table_BDD[[#This Row],[Position]]="","",_xlfn.MINIFS(Table_BDD[Horodatage ouverture],Table_BDD[Date],Table_BDD[Date]))</f>
        <v>43875.390983796293</v>
      </c>
      <c r="AD127" s="149">
        <f>VLOOKUP(_xlfn.MINIFS(Table_BDD[Horodatage ouverture],Table_BDD[Date],Table_BDD[Date]),Table_BDD[[Horodatage ouverture]:[Heure derniere valeur]],AA$2)</f>
        <v>867.85</v>
      </c>
      <c r="AE127" s="149">
        <f>IF(VLOOKUP(_xlfn.MINIFS(Table_BDD[Horodatage ouverture],Table_BDD[Date],Table_BDD[Date]),Table_BDD[[Horodatage ouverture]:[Heure derniere valeur]],AA$2)=Table_BDD[[#This Row],[Equité avant trade]],VLOOKUP(_xlfn.MINIFS(Table_BDD[Horodatage ouverture],Table_BDD[Date],Table_BDD[Date]),Table_BDD[[Horodatage ouverture]:[Heure derniere valeur]],AA$2),0)</f>
        <v>0</v>
      </c>
      <c r="AF127" s="150">
        <f>IF(Table_BDD[[#This Row],[Position]]="","",_xlfn.MAXIFS(Table_BDD[Horodatage ouverture],Table_BDD[Date],Table_BDD[Date]))</f>
        <v>43875.829016203701</v>
      </c>
      <c r="AG127" s="32">
        <f>VLOOKUP(_xlfn.MAXIFS(Table_BDD[Horodatage cloture],Table_BDD[Date],Table_BDD[Date]),Table_BDD[[Horodatage ouverture]:[Heure derniere valeur]],AB$2)</f>
        <v>775.01</v>
      </c>
      <c r="AH127" s="32">
        <f>IF(VLOOKUP(_xlfn.MAXIFS(Table_BDD[Horodatage cloture],Table_BDD[Date],Table_BDD[Date]),Table_BDD[[Horodatage ouverture]:[Heure derniere valeur]],AB$2)=Table_BDD[[#This Row],[Equité après trade]],VLOOKUP(_xlfn.MAXIFS(Table_BDD[Horodatage cloture],Table_BDD[Date],Table_BDD[Date]),Table_BDD[[Horodatage ouverture]:[Heure derniere valeur]],AB$2),0)</f>
        <v>0</v>
      </c>
      <c r="AI127" s="32" t="e">
        <f>IF(Table_BDD[[#This Row],[Valeur fin de journée unique]]=0,#N/A,Table_BDD[[#This Row],[Valeur fin de journée unique]])</f>
        <v>#N/A</v>
      </c>
      <c r="AJ127" s="35">
        <f>IF(Table_BDD[[#This Row],[Position]]="","",(Table_BDD[[#This Row],[Equité après trade]]-Table_BDD[[#This Row],[Equité avant trade]])/Table_BDD[[#This Row],[Equité avant trade]])</f>
        <v>-5.490130836234868E-3</v>
      </c>
      <c r="AK127" s="35" t="str">
        <f>IFERROR(((INDEX(Table_BDD[[Trade n°]:[Valeur fin de journée unique]],Table_BDD[[#This Row],[Nb de trade du jour]]+Table_BDD[[#This Row],[Trade n°]]-1,21))-Table_BDD[[#This Row],[Valeur début de journée unique]])/Table_BDD[[#This Row],[Valeur début de journée unique]],"")</f>
        <v/>
      </c>
      <c r="AL127" s="32">
        <f>IF(Table_BDD[[#This Row],[Position]]="","",MAX(Table_BDD[[#This Row],[Cumul équité]],AL126))</f>
        <v>1052.8399999999999</v>
      </c>
      <c r="AM127" s="32">
        <f>IF(Table_BDD[[#This Row],[Position]]="","",MIN(Table_BDD[[#This Row],[Cumul équité]],AL126))</f>
        <v>836.8900000000001</v>
      </c>
      <c r="AN127" s="97">
        <f>IF(Table_BDD[[#This Row],[Sommet Drawdown]]&gt;AL126,"",Table_BDD[[#This Row],[Creux Drawdown]]/Table_BDD[[#This Row],[Sommet Drawdown]]-1)</f>
        <v>-0.20511188784620626</v>
      </c>
      <c r="AO127" s="36">
        <f>IF(Table_BDD[[#This Row],[Position]]="","",IF(Table_BDD[[#This Row],[Type]]="buy",ROUND(Table_BDD[[#This Row],[Lvl Sortie]]-Table_BDD[[#This Row],[Lvl Entrée]],1),ROUND(Table_BDD[[#This Row],[Lvl Entrée]]-Table_BDD[[#This Row],[Lvl Sortie]],1)))</f>
        <v>-10</v>
      </c>
      <c r="AP127" s="36" t="str">
        <f>IF(Table_BDD[[#This Row],[Points]]&gt;0,Table_BDD[[#This Row],[Points]],"")</f>
        <v/>
      </c>
      <c r="AQ127" s="36">
        <f>IF(Table_BDD[[#This Row],[Points]]&lt;0,Table_BDD[[#This Row],[Points]],"")</f>
        <v>-10</v>
      </c>
      <c r="AR127" s="36">
        <f>SUM($AO$4:AO127)</f>
        <v>-354.8</v>
      </c>
      <c r="AS127" s="68">
        <f>IF(Table_BDD[[#This Row],[Position]]="","",IF(Table_BDD[[#This Row],[Conformité]]="Conforme",1,0))</f>
        <v>0</v>
      </c>
      <c r="AT127" s="68">
        <f>IF(Table_BDD[[#This Row],[Position]]="","",IF(Table_BDD[[#This Row],[Conformité]]="Non conforme",1,0))</f>
        <v>1</v>
      </c>
      <c r="AU127" s="37" t="s">
        <v>17</v>
      </c>
      <c r="AV127" s="37"/>
      <c r="AW127" s="37"/>
      <c r="AX127" s="37">
        <v>0</v>
      </c>
      <c r="AY127" s="37">
        <v>0</v>
      </c>
      <c r="AZ127" s="37">
        <v>0</v>
      </c>
      <c r="BA127" s="40" t="str">
        <f>IF(Table_BDD[[#This Row],[Position]]="","Sans objet",IF(AND(Table_BDD[[#This Row],[Type]]="sell",Table_BDD[[#This Row],[S / L]]&lt;Table_BDD[[#This Row],[Lvl Entrée]],Table_BDD[[#This Row],[Lvl Sortie]]&lt;=Table_BDD[[#This Row],[S / L]]+2,Table_BDD[[#This Row],[Lvl Sortie]]&lt;Table_BDD[[#This Row],[Lvl Entrée]]-19),"Oui",IF(AND(Table_BDD[[#This Row],[Type]]="buy",Table_BDD[[#This Row],[S / L]]&gt;Table_BDD[[#This Row],[Lvl Entrée]],Table_BDD[[#This Row],[Lvl Sortie]]&gt;=Table_BDD[[#This Row],[S / L]]-2,Table_BDD[[#This Row],[S / L]]&gt;Table_BDD[[#This Row],[Lvl Entrée]]+19),"Oui","Non")))</f>
        <v>Non</v>
      </c>
      <c r="BB127" s="40" t="str">
        <f>IF(Table_BDD[[#This Row],[Position]]="","Sans objet",IF(AND(Table_BDD[[#This Row],[Type]]="sell",Table_BDD[[#This Row],[S / L]]&lt;Table_BDD[[#This Row],[Lvl Entrée]],Table_BDD[[#This Row],[Points]]&gt;=-1),"Oui",IF(AND(Table_BDD[[#This Row],[Type]]="sell",Table_BDD[[#This Row],[S / L]]&gt;Table_BDD[[#This Row],[Lvl Entrée]]),"Non",IF(AND(Table_BDD[[#This Row],[Type]]="buy",Table_BDD[[#This Row],[S / L]]&lt;Table_BDD[[#This Row],[Lvl Entrée]]),"Non",IF(AND(Table_BDD[[#This Row],[Type]]="buy",Table_BDD[[#This Row],[S / L]]&gt;Table_BDD[[#This Row],[Lvl Entrée]],Table_BDD[[#This Row],[Points]]&gt;=-1),"Oui")))))</f>
        <v>Non</v>
      </c>
      <c r="BC127" s="40" t="str">
        <f>IF(Table_BDD[[#This Row],[Position]]="","Sans objet",IF(Table_BDD[[#This Row],[T / P]]="","Non",IF(AND(Table_BDD[[#This Row],[Type]]="sell",Table_BDD[[#This Row],[Lvl Sortie]]&lt;=Table_BDD[[#This Row],[T / P]]),"Oui",IF(AND(Table_BDD[[#This Row],[Type]]="buy",Table_BDD[[#This Row],[Lvl Sortie]]&gt;=Table_BDD[[#This Row],[T / P]]),"Oui","Non"))))</f>
        <v>Non</v>
      </c>
      <c r="BD127" s="91">
        <f t="array" ref="BD127">IFERROR(INDEX(downloadFile[#All],MATCH(Table_BDD[[#This Row],[Date]],downloadFile[[#All],[Column1]],0),2),BD126)</f>
        <v>1.0842000000000001</v>
      </c>
      <c r="BE127" s="89">
        <f>IF(Table_BDD[[#This Row],[Position]]="","",IF(Table_BDD[[#This Row],[Symbole]]="UsaInd",(Table_BDD[[#This Row],[Volume]]*Table_BDD[[#This Row],[Lvl Entrée]])/(Table_BDD[[#This Row],[Equité avant trade]]*Table_BDD[[#This Row],[EUR/USD]]),IF(Table_BDD[[#This Row],[Symbole]]="Ger30",(Table_BDD[[#This Row],[Volume]]*Table_BDD[[#This Row],[Lvl Entrée]])/Table_BDD[[#This Row],[Equité avant trade]],)))</f>
        <v>16.114989846904955</v>
      </c>
      <c r="BF127" s="38">
        <f>IF(Table_BDD[[#This Row],[Position]]="","",IF(Table_BDD[[#This Row],[Conformité]]="Non conforme",0,(MROUND(3*((Table_BDD[[#This Row],[Conviction]]+Table_BDD[[#This Row],[Timing]]+Table_BDD[[#This Row],[Sortie]])+1)-2,1))))</f>
        <v>0</v>
      </c>
      <c r="BG127" s="38" t="str">
        <f>IF(Table_BDD[[#This Row],[Position]]="","",IF(Table_BDD[[#This Row],[Points]]&lt;-5,"--",IF(AND(Table_BDD[[#This Row],[Points]]&gt;=-5,Table_BDD[[#This Row],[Points]]&lt;-1.5),"-",IF(AND(Table_BDD[[#This Row],[Points]]&gt;=-1.5,Table_BDD[[#This Row],[Points]]&lt;1.5),"0",IF(AND(Table_BDD[[#This Row],[Points]]&gt;=1.5,Table_BDD[[#This Row],[Points]]&lt;=70),"+",IF(Table_BDD[[#This Row],[Points]]&gt;70,"++"))))))</f>
        <v>--</v>
      </c>
      <c r="BH127" s="37" t="str">
        <f>IF(Table_BDD[[#This Row],[Position]]="","",IF(Table_BDD[[#This Row],[Points]]&gt;0,"Gagnant",IF(Table_BDD[[#This Row],[Points]]=0,"Flat","Perdant")))</f>
        <v>Perdant</v>
      </c>
      <c r="BI127" s="40">
        <f>IF(Table_BDD[[#This Row],[Position]]="","",IF(Table_BDD[[#This Row],[Résultat]]="Gagnant",1,0))</f>
        <v>0</v>
      </c>
      <c r="BJ127" s="40">
        <f>IF(Table_BDD[[#This Row],[Position]]="","",IF(Table_BDD[[#This Row],[Résultat]]="Perdant",1,0))</f>
        <v>1</v>
      </c>
      <c r="BK127" s="40"/>
      <c r="BL127" s="145" t="str">
        <f>IF(Table_BDD[[#This Row],[T / P]]="","",Table_BDD[[#This Row],[T / P]])</f>
        <v/>
      </c>
      <c r="BM127" s="147"/>
      <c r="BN127" s="147"/>
      <c r="BO127" s="147"/>
      <c r="BP127" s="147"/>
      <c r="BQ127" s="127"/>
    </row>
    <row r="128" spans="1:69" x14ac:dyDescent="0.2">
      <c r="A128" s="93">
        <v>43875.651782407411</v>
      </c>
      <c r="B128" s="94">
        <v>259981653</v>
      </c>
      <c r="C128" s="37" t="s">
        <v>8</v>
      </c>
      <c r="D128" s="37" t="s">
        <v>9</v>
      </c>
      <c r="E128" s="37">
        <v>0.5</v>
      </c>
      <c r="F128" s="95">
        <v>29398.71</v>
      </c>
      <c r="G128" s="95">
        <v>29388.71</v>
      </c>
      <c r="H128" s="95">
        <v>29578.71</v>
      </c>
      <c r="I128" s="93">
        <v>43875.664398148147</v>
      </c>
      <c r="J128" s="95">
        <v>29388.63</v>
      </c>
      <c r="K128" s="95">
        <v>0</v>
      </c>
      <c r="L128" s="95">
        <v>0</v>
      </c>
      <c r="M128" s="32">
        <v>-4.6399999999999997</v>
      </c>
      <c r="N128" s="148">
        <f>IF(Table_BDD[[#This Row],[Position]]="","",ROW()-3)</f>
        <v>125</v>
      </c>
      <c r="O128" s="32">
        <f>SUM($L$4:M128)</f>
        <v>-167.74999999999994</v>
      </c>
      <c r="P128" s="32">
        <f>Table_BDD[[#This Row],[Equité avant trade]]+Table_BDD[[#This Row],[Profit]]+Table_BDD[[#This Row],[Echange]]</f>
        <v>832.25</v>
      </c>
      <c r="Q128" s="52">
        <f>INT(Table_BDD[[#This Row],[Horodatage cloture]])</f>
        <v>43875</v>
      </c>
      <c r="R128" s="34">
        <f>WEEKNUM(Table_BDD[[#This Row],[Horodatage cloture]],2)</f>
        <v>7</v>
      </c>
      <c r="S128" s="61">
        <f>WEEKDAY(Table_BDD[[#This Row],[Horodatage cloture]])</f>
        <v>6</v>
      </c>
      <c r="T128" s="63">
        <f>HOUR(Table_BDD[[#This Row],[Horodatage cloture]])</f>
        <v>15</v>
      </c>
      <c r="U128" s="68">
        <f>IF(Table_BDD[[#This Row],[Position]]="","",IF(Table_BDD[[#This Row],[Valeur début de journée unique]]&lt;&gt;0,1,0))</f>
        <v>0</v>
      </c>
      <c r="V128" s="68" t="str">
        <f>IF(Table_BDD[[#This Row],[Nb de séance de trading]]=1,COUNTIF(Table_BDD[Date],Table_BDD[[#This Row],[Date]]),"")</f>
        <v/>
      </c>
      <c r="W128" s="33">
        <f>IF(Table_BDD[[#This Row],[Position]]="","",IF(Table_BDD[[#This Row],[Type]]="buy",ROUND(Table_BDD[[#This Row],[Lvl Entrée]]-Table_BDD[[#This Row],[S / L]],1),ROUND(Table_BDD[[#This Row],[S / L]]-Table_BDD[[#This Row],[Lvl Entrée]],1)))</f>
        <v>10</v>
      </c>
      <c r="X128" s="33">
        <f>IF(Table_BDD[[#This Row],[Position]]="","",IF(Table_BDD[[#This Row],[T / P]]=0,200,IF(Table_BDD[[#This Row],[Type]]="buy",ROUND(Table_BDD[[#This Row],[T / P]]-Table_BDD[[#This Row],[Lvl Entrée]],1),ROUND(Table_BDD[[#This Row],[Lvl Entrée]]-Table_BDD[[#This Row],[T / P]],1))))</f>
        <v>180</v>
      </c>
      <c r="Y128" s="34">
        <f>IF(Table_BDD[[#This Row],[Position]]="","",IF(Table_BDD[[#This Row],[Ecart du SL]]&gt;0,ROUND(ABS(Table_BDD[[#This Row],[Ecart du TP]])/ABS(Table_BDD[[#This Row],[Ecart du SL]]),1),ROUND(ABS(Table_BDD[[#This Row],[Ecart du TP]])/10,1)))</f>
        <v>18</v>
      </c>
      <c r="Z128" s="34">
        <f>IF(Table_BDD[[#This Row],[Position]]="","",IF(Table_BDD[[#This Row],[Ecart du SL]]&lt;0,IF(AND(Table_BDD[[#This Row],[Profit]]&gt;0,Table_BDD[[#This Row],[Type]]="sell"),ROUND((Table_BDD[[#This Row],[Lvl Entrée]]-Table_BDD[[#This Row],[Lvl Sortie]])/(10),1),IF(AND(Table_BDD[[#This Row],[Profit]]&gt;0,Table_BDD[[#This Row],[Type]]="buy"),ROUND((Table_BDD[[#This Row],[Lvl Sortie]]-Table_BDD[[#This Row],[Lvl Entrée]])/(10),1),)),IF(AND(Table_BDD[[#This Row],[Profit]]&gt;0,Table_BDD[[#This Row],[Type]]="sell"),ROUND((Table_BDD[[#This Row],[Lvl Entrée]]-Table_BDD[[#This Row],[Lvl Sortie]])/(Table_BDD[[#This Row],[S / L]]-Table_BDD[[#This Row],[Lvl Entrée]]),1),IF(AND(Table_BDD[[#This Row],[Profit]]&gt;0,Table_BDD[[#This Row],[Type]]="buy"),ROUND((Table_BDD[[#This Row],[Lvl Sortie]]-Table_BDD[[#This Row],[Lvl Entrée]])/(Table_BDD[[#This Row],[Lvl Entrée]]-Table_BDD[[#This Row],[S / L]]),1),ROUND(Table_BDD[[#This Row],[Points]]/10,1)))))</f>
        <v>-1</v>
      </c>
      <c r="AA128" s="32">
        <f>IF(Table_BDD[[#This Row],[Position]]="",AA127,Table_BDD[[#This Row],[Equité après trade]]-Table_BDD[[#This Row],[Profit]]-Table_BDD[[#This Row],[Echange]])</f>
        <v>836.89</v>
      </c>
      <c r="AB128" s="149">
        <f>$B$1+SUM($L$4:M128)</f>
        <v>832.25</v>
      </c>
      <c r="AC128" s="150">
        <f>IF(Table_BDD[[#This Row],[Position]]="","",_xlfn.MINIFS(Table_BDD[Horodatage ouverture],Table_BDD[Date],Table_BDD[Date]))</f>
        <v>43875.390983796293</v>
      </c>
      <c r="AD128" s="149">
        <f>VLOOKUP(_xlfn.MINIFS(Table_BDD[Horodatage ouverture],Table_BDD[Date],Table_BDD[Date]),Table_BDD[[Horodatage ouverture]:[Heure derniere valeur]],AA$2)</f>
        <v>867.85</v>
      </c>
      <c r="AE128" s="149">
        <f>IF(VLOOKUP(_xlfn.MINIFS(Table_BDD[Horodatage ouverture],Table_BDD[Date],Table_BDD[Date]),Table_BDD[[Horodatage ouverture]:[Heure derniere valeur]],AA$2)=Table_BDD[[#This Row],[Equité avant trade]],VLOOKUP(_xlfn.MINIFS(Table_BDD[Horodatage ouverture],Table_BDD[Date],Table_BDD[Date]),Table_BDD[[Horodatage ouverture]:[Heure derniere valeur]],AA$2),0)</f>
        <v>0</v>
      </c>
      <c r="AF128" s="150">
        <f>IF(Table_BDD[[#This Row],[Position]]="","",_xlfn.MAXIFS(Table_BDD[Horodatage ouverture],Table_BDD[Date],Table_BDD[Date]))</f>
        <v>43875.829016203701</v>
      </c>
      <c r="AG128" s="32">
        <f>VLOOKUP(_xlfn.MAXIFS(Table_BDD[Horodatage cloture],Table_BDD[Date],Table_BDD[Date]),Table_BDD[[Horodatage ouverture]:[Heure derniere valeur]],AB$2)</f>
        <v>775.01</v>
      </c>
      <c r="AH128" s="32">
        <f>IF(VLOOKUP(_xlfn.MAXIFS(Table_BDD[Horodatage cloture],Table_BDD[Date],Table_BDD[Date]),Table_BDD[[Horodatage ouverture]:[Heure derniere valeur]],AB$2)=Table_BDD[[#This Row],[Equité après trade]],VLOOKUP(_xlfn.MAXIFS(Table_BDD[Horodatage cloture],Table_BDD[Date],Table_BDD[Date]),Table_BDD[[Horodatage ouverture]:[Heure derniere valeur]],AB$2),0)</f>
        <v>0</v>
      </c>
      <c r="AI128" s="32" t="e">
        <f>IF(Table_BDD[[#This Row],[Valeur fin de journée unique]]=0,#N/A,Table_BDD[[#This Row],[Valeur fin de journée unique]])</f>
        <v>#N/A</v>
      </c>
      <c r="AJ128" s="35">
        <f>IF(Table_BDD[[#This Row],[Position]]="","",(Table_BDD[[#This Row],[Equité après trade]]-Table_BDD[[#This Row],[Equité avant trade]])/Table_BDD[[#This Row],[Equité avant trade]])</f>
        <v>-5.5443367706627953E-3</v>
      </c>
      <c r="AK128" s="35" t="str">
        <f>IFERROR(((INDEX(Table_BDD[[Trade n°]:[Valeur fin de journée unique]],Table_BDD[[#This Row],[Nb de trade du jour]]+Table_BDD[[#This Row],[Trade n°]]-1,21))-Table_BDD[[#This Row],[Valeur début de journée unique]])/Table_BDD[[#This Row],[Valeur début de journée unique]],"")</f>
        <v/>
      </c>
      <c r="AL128" s="32">
        <f>IF(Table_BDD[[#This Row],[Position]]="","",MAX(Table_BDD[[#This Row],[Cumul équité]],AL127))</f>
        <v>1052.8399999999999</v>
      </c>
      <c r="AM128" s="32">
        <f>IF(Table_BDD[[#This Row],[Position]]="","",MIN(Table_BDD[[#This Row],[Cumul équité]],AL127))</f>
        <v>832.25</v>
      </c>
      <c r="AN128" s="97">
        <f>IF(Table_BDD[[#This Row],[Sommet Drawdown]]&gt;AL127,"",Table_BDD[[#This Row],[Creux Drawdown]]/Table_BDD[[#This Row],[Sommet Drawdown]]-1)</f>
        <v>-0.2095190152349834</v>
      </c>
      <c r="AO128" s="36">
        <f>IF(Table_BDD[[#This Row],[Position]]="","",IF(Table_BDD[[#This Row],[Type]]="buy",ROUND(Table_BDD[[#This Row],[Lvl Sortie]]-Table_BDD[[#This Row],[Lvl Entrée]],1),ROUND(Table_BDD[[#This Row],[Lvl Entrée]]-Table_BDD[[#This Row],[Lvl Sortie]],1)))</f>
        <v>-10.1</v>
      </c>
      <c r="AP128" s="36" t="str">
        <f>IF(Table_BDD[[#This Row],[Points]]&gt;0,Table_BDD[[#This Row],[Points]],"")</f>
        <v/>
      </c>
      <c r="AQ128" s="36">
        <f>IF(Table_BDD[[#This Row],[Points]]&lt;0,Table_BDD[[#This Row],[Points]],"")</f>
        <v>-10.1</v>
      </c>
      <c r="AR128" s="36">
        <f>SUM($AO$4:AO128)</f>
        <v>-364.90000000000003</v>
      </c>
      <c r="AS128" s="68">
        <f>IF(Table_BDD[[#This Row],[Position]]="","",IF(Table_BDD[[#This Row],[Conformité]]="Conforme",1,0))</f>
        <v>0</v>
      </c>
      <c r="AT128" s="68">
        <f>IF(Table_BDD[[#This Row],[Position]]="","",IF(Table_BDD[[#This Row],[Conformité]]="Non conforme",1,0))</f>
        <v>1</v>
      </c>
      <c r="AU128" s="37" t="s">
        <v>17</v>
      </c>
      <c r="AV128" s="37"/>
      <c r="AW128" s="37"/>
      <c r="AX128" s="37">
        <v>0</v>
      </c>
      <c r="AY128" s="37">
        <v>0</v>
      </c>
      <c r="AZ128" s="37">
        <v>0</v>
      </c>
      <c r="BA128" s="40" t="str">
        <f>IF(Table_BDD[[#This Row],[Position]]="","Sans objet",IF(AND(Table_BDD[[#This Row],[Type]]="sell",Table_BDD[[#This Row],[S / L]]&lt;Table_BDD[[#This Row],[Lvl Entrée]],Table_BDD[[#This Row],[Lvl Sortie]]&lt;=Table_BDD[[#This Row],[S / L]]+2,Table_BDD[[#This Row],[Lvl Sortie]]&lt;Table_BDD[[#This Row],[Lvl Entrée]]-19),"Oui",IF(AND(Table_BDD[[#This Row],[Type]]="buy",Table_BDD[[#This Row],[S / L]]&gt;Table_BDD[[#This Row],[Lvl Entrée]],Table_BDD[[#This Row],[Lvl Sortie]]&gt;=Table_BDD[[#This Row],[S / L]]-2,Table_BDD[[#This Row],[S / L]]&gt;Table_BDD[[#This Row],[Lvl Entrée]]+19),"Oui","Non")))</f>
        <v>Non</v>
      </c>
      <c r="BB128" s="40" t="str">
        <f>IF(Table_BDD[[#This Row],[Position]]="","Sans objet",IF(AND(Table_BDD[[#This Row],[Type]]="sell",Table_BDD[[#This Row],[S / L]]&lt;Table_BDD[[#This Row],[Lvl Entrée]],Table_BDD[[#This Row],[Points]]&gt;=-1),"Oui",IF(AND(Table_BDD[[#This Row],[Type]]="sell",Table_BDD[[#This Row],[S / L]]&gt;Table_BDD[[#This Row],[Lvl Entrée]]),"Non",IF(AND(Table_BDD[[#This Row],[Type]]="buy",Table_BDD[[#This Row],[S / L]]&lt;Table_BDD[[#This Row],[Lvl Entrée]]),"Non",IF(AND(Table_BDD[[#This Row],[Type]]="buy",Table_BDD[[#This Row],[S / L]]&gt;Table_BDD[[#This Row],[Lvl Entrée]],Table_BDD[[#This Row],[Points]]&gt;=-1),"Oui")))))</f>
        <v>Non</v>
      </c>
      <c r="BC128" s="40" t="str">
        <f>IF(Table_BDD[[#This Row],[Position]]="","Sans objet",IF(Table_BDD[[#This Row],[T / P]]="","Non",IF(AND(Table_BDD[[#This Row],[Type]]="sell",Table_BDD[[#This Row],[Lvl Sortie]]&lt;=Table_BDD[[#This Row],[T / P]]),"Oui",IF(AND(Table_BDD[[#This Row],[Type]]="buy",Table_BDD[[#This Row],[Lvl Sortie]]&gt;=Table_BDD[[#This Row],[T / P]]),"Oui","Non"))))</f>
        <v>Non</v>
      </c>
      <c r="BD128" s="91">
        <f t="array" ref="BD128">IFERROR(INDEX(downloadFile[#All],MATCH(Table_BDD[[#This Row],[Date]],downloadFile[[#All],[Column1]],0),2),BD127)</f>
        <v>1.0842000000000001</v>
      </c>
      <c r="BE128" s="89">
        <f>IF(Table_BDD[[#This Row],[Position]]="","",IF(Table_BDD[[#This Row],[Symbole]]="UsaInd",(Table_BDD[[#This Row],[Volume]]*Table_BDD[[#This Row],[Lvl Entrée]])/(Table_BDD[[#This Row],[Equité avant trade]]*Table_BDD[[#This Row],[EUR/USD]]),IF(Table_BDD[[#This Row],[Symbole]]="Ger30",(Table_BDD[[#This Row],[Volume]]*Table_BDD[[#This Row],[Lvl Entrée]])/Table_BDD[[#This Row],[Equité avant trade]],)))</f>
        <v>16.200204511097933</v>
      </c>
      <c r="BF128" s="38">
        <f>IF(Table_BDD[[#This Row],[Position]]="","",IF(Table_BDD[[#This Row],[Conformité]]="Non conforme",0,(MROUND(3*((Table_BDD[[#This Row],[Conviction]]+Table_BDD[[#This Row],[Timing]]+Table_BDD[[#This Row],[Sortie]])+1)-2,1))))</f>
        <v>0</v>
      </c>
      <c r="BG128" s="38" t="str">
        <f>IF(Table_BDD[[#This Row],[Position]]="","",IF(Table_BDD[[#This Row],[Points]]&lt;-5,"--",IF(AND(Table_BDD[[#This Row],[Points]]&gt;=-5,Table_BDD[[#This Row],[Points]]&lt;-1.5),"-",IF(AND(Table_BDD[[#This Row],[Points]]&gt;=-1.5,Table_BDD[[#This Row],[Points]]&lt;1.5),"0",IF(AND(Table_BDD[[#This Row],[Points]]&gt;=1.5,Table_BDD[[#This Row],[Points]]&lt;=70),"+",IF(Table_BDD[[#This Row],[Points]]&gt;70,"++"))))))</f>
        <v>--</v>
      </c>
      <c r="BH128" s="37" t="str">
        <f>IF(Table_BDD[[#This Row],[Position]]="","",IF(Table_BDD[[#This Row],[Points]]&gt;0,"Gagnant",IF(Table_BDD[[#This Row],[Points]]=0,"Flat","Perdant")))</f>
        <v>Perdant</v>
      </c>
      <c r="BI128" s="40">
        <f>IF(Table_BDD[[#This Row],[Position]]="","",IF(Table_BDD[[#This Row],[Résultat]]="Gagnant",1,0))</f>
        <v>0</v>
      </c>
      <c r="BJ128" s="40">
        <f>IF(Table_BDD[[#This Row],[Position]]="","",IF(Table_BDD[[#This Row],[Résultat]]="Perdant",1,0))</f>
        <v>1</v>
      </c>
      <c r="BK128" s="40"/>
      <c r="BL128" s="145">
        <f>IF(Table_BDD[[#This Row],[T / P]]="","",Table_BDD[[#This Row],[T / P]])</f>
        <v>29578.71</v>
      </c>
      <c r="BM128" s="147"/>
      <c r="BN128" s="147"/>
      <c r="BO128" s="147"/>
      <c r="BP128" s="147"/>
      <c r="BQ128" s="127"/>
    </row>
    <row r="129" spans="1:69" x14ac:dyDescent="0.2">
      <c r="A129" s="93">
        <v>43875.664421296293</v>
      </c>
      <c r="B129" s="94">
        <v>259984057</v>
      </c>
      <c r="C129" s="37" t="s">
        <v>8</v>
      </c>
      <c r="D129" s="37" t="s">
        <v>9</v>
      </c>
      <c r="E129" s="37">
        <v>0.5</v>
      </c>
      <c r="F129" s="95">
        <v>29391.79</v>
      </c>
      <c r="G129" s="95">
        <v>29381.79</v>
      </c>
      <c r="H129" s="95">
        <v>29591.79</v>
      </c>
      <c r="I129" s="93">
        <v>43875.67496527778</v>
      </c>
      <c r="J129" s="95">
        <v>29381.73</v>
      </c>
      <c r="K129" s="95">
        <v>0</v>
      </c>
      <c r="L129" s="95">
        <v>0</v>
      </c>
      <c r="M129" s="32">
        <v>-4.6399999999999997</v>
      </c>
      <c r="N129" s="148">
        <f>IF(Table_BDD[[#This Row],[Position]]="","",ROW()-3)</f>
        <v>126</v>
      </c>
      <c r="O129" s="32">
        <f>SUM($L$4:M129)</f>
        <v>-172.38999999999993</v>
      </c>
      <c r="P129" s="32">
        <f>Table_BDD[[#This Row],[Equité avant trade]]+Table_BDD[[#This Row],[Profit]]+Table_BDD[[#This Row],[Echange]]</f>
        <v>827.61000000000013</v>
      </c>
      <c r="Q129" s="52">
        <f>INT(Table_BDD[[#This Row],[Horodatage cloture]])</f>
        <v>43875</v>
      </c>
      <c r="R129" s="34">
        <f>WEEKNUM(Table_BDD[[#This Row],[Horodatage cloture]],2)</f>
        <v>7</v>
      </c>
      <c r="S129" s="61">
        <f>WEEKDAY(Table_BDD[[#This Row],[Horodatage cloture]])</f>
        <v>6</v>
      </c>
      <c r="T129" s="63">
        <f>HOUR(Table_BDD[[#This Row],[Horodatage cloture]])</f>
        <v>16</v>
      </c>
      <c r="U129" s="68">
        <f>IF(Table_BDD[[#This Row],[Position]]="","",IF(Table_BDD[[#This Row],[Valeur début de journée unique]]&lt;&gt;0,1,0))</f>
        <v>0</v>
      </c>
      <c r="V129" s="68" t="str">
        <f>IF(Table_BDD[[#This Row],[Nb de séance de trading]]=1,COUNTIF(Table_BDD[Date],Table_BDD[[#This Row],[Date]]),"")</f>
        <v/>
      </c>
      <c r="W129" s="33">
        <f>IF(Table_BDD[[#This Row],[Position]]="","",IF(Table_BDD[[#This Row],[Type]]="buy",ROUND(Table_BDD[[#This Row],[Lvl Entrée]]-Table_BDD[[#This Row],[S / L]],1),ROUND(Table_BDD[[#This Row],[S / L]]-Table_BDD[[#This Row],[Lvl Entrée]],1)))</f>
        <v>10</v>
      </c>
      <c r="X129" s="33">
        <f>IF(Table_BDD[[#This Row],[Position]]="","",IF(Table_BDD[[#This Row],[T / P]]=0,200,IF(Table_BDD[[#This Row],[Type]]="buy",ROUND(Table_BDD[[#This Row],[T / P]]-Table_BDD[[#This Row],[Lvl Entrée]],1),ROUND(Table_BDD[[#This Row],[Lvl Entrée]]-Table_BDD[[#This Row],[T / P]],1))))</f>
        <v>200</v>
      </c>
      <c r="Y129" s="34">
        <f>IF(Table_BDD[[#This Row],[Position]]="","",IF(Table_BDD[[#This Row],[Ecart du SL]]&gt;0,ROUND(ABS(Table_BDD[[#This Row],[Ecart du TP]])/ABS(Table_BDD[[#This Row],[Ecart du SL]]),1),ROUND(ABS(Table_BDD[[#This Row],[Ecart du TP]])/10,1)))</f>
        <v>20</v>
      </c>
      <c r="Z129" s="34">
        <f>IF(Table_BDD[[#This Row],[Position]]="","",IF(Table_BDD[[#This Row],[Ecart du SL]]&lt;0,IF(AND(Table_BDD[[#This Row],[Profit]]&gt;0,Table_BDD[[#This Row],[Type]]="sell"),ROUND((Table_BDD[[#This Row],[Lvl Entrée]]-Table_BDD[[#This Row],[Lvl Sortie]])/(10),1),IF(AND(Table_BDD[[#This Row],[Profit]]&gt;0,Table_BDD[[#This Row],[Type]]="buy"),ROUND((Table_BDD[[#This Row],[Lvl Sortie]]-Table_BDD[[#This Row],[Lvl Entrée]])/(10),1),)),IF(AND(Table_BDD[[#This Row],[Profit]]&gt;0,Table_BDD[[#This Row],[Type]]="sell"),ROUND((Table_BDD[[#This Row],[Lvl Entrée]]-Table_BDD[[#This Row],[Lvl Sortie]])/(Table_BDD[[#This Row],[S / L]]-Table_BDD[[#This Row],[Lvl Entrée]]),1),IF(AND(Table_BDD[[#This Row],[Profit]]&gt;0,Table_BDD[[#This Row],[Type]]="buy"),ROUND((Table_BDD[[#This Row],[Lvl Sortie]]-Table_BDD[[#This Row],[Lvl Entrée]])/(Table_BDD[[#This Row],[Lvl Entrée]]-Table_BDD[[#This Row],[S / L]]),1),ROUND(Table_BDD[[#This Row],[Points]]/10,1)))))</f>
        <v>-1</v>
      </c>
      <c r="AA129" s="32">
        <f>IF(Table_BDD[[#This Row],[Position]]="",AA128,Table_BDD[[#This Row],[Equité après trade]]-Table_BDD[[#This Row],[Profit]]-Table_BDD[[#This Row],[Echange]])</f>
        <v>832.25000000000011</v>
      </c>
      <c r="AB129" s="149">
        <f>$B$1+SUM($L$4:M129)</f>
        <v>827.61000000000013</v>
      </c>
      <c r="AC129" s="150">
        <f>IF(Table_BDD[[#This Row],[Position]]="","",_xlfn.MINIFS(Table_BDD[Horodatage ouverture],Table_BDD[Date],Table_BDD[Date]))</f>
        <v>43875.390983796293</v>
      </c>
      <c r="AD129" s="149">
        <f>VLOOKUP(_xlfn.MINIFS(Table_BDD[Horodatage ouverture],Table_BDD[Date],Table_BDD[Date]),Table_BDD[[Horodatage ouverture]:[Heure derniere valeur]],AA$2)</f>
        <v>867.85</v>
      </c>
      <c r="AE129" s="149">
        <f>IF(VLOOKUP(_xlfn.MINIFS(Table_BDD[Horodatage ouverture],Table_BDD[Date],Table_BDD[Date]),Table_BDD[[Horodatage ouverture]:[Heure derniere valeur]],AA$2)=Table_BDD[[#This Row],[Equité avant trade]],VLOOKUP(_xlfn.MINIFS(Table_BDD[Horodatage ouverture],Table_BDD[Date],Table_BDD[Date]),Table_BDD[[Horodatage ouverture]:[Heure derniere valeur]],AA$2),0)</f>
        <v>0</v>
      </c>
      <c r="AF129" s="150">
        <f>IF(Table_BDD[[#This Row],[Position]]="","",_xlfn.MAXIFS(Table_BDD[Horodatage ouverture],Table_BDD[Date],Table_BDD[Date]))</f>
        <v>43875.829016203701</v>
      </c>
      <c r="AG129" s="32">
        <f>VLOOKUP(_xlfn.MAXIFS(Table_BDD[Horodatage cloture],Table_BDD[Date],Table_BDD[Date]),Table_BDD[[Horodatage ouverture]:[Heure derniere valeur]],AB$2)</f>
        <v>775.01</v>
      </c>
      <c r="AH129" s="32">
        <f>IF(VLOOKUP(_xlfn.MAXIFS(Table_BDD[Horodatage cloture],Table_BDD[Date],Table_BDD[Date]),Table_BDD[[Horodatage ouverture]:[Heure derniere valeur]],AB$2)=Table_BDD[[#This Row],[Equité après trade]],VLOOKUP(_xlfn.MAXIFS(Table_BDD[Horodatage cloture],Table_BDD[Date],Table_BDD[Date]),Table_BDD[[Horodatage ouverture]:[Heure derniere valeur]],AB$2),0)</f>
        <v>0</v>
      </c>
      <c r="AI129" s="32" t="e">
        <f>IF(Table_BDD[[#This Row],[Valeur fin de journée unique]]=0,#N/A,Table_BDD[[#This Row],[Valeur fin de journée unique]])</f>
        <v>#N/A</v>
      </c>
      <c r="AJ129" s="35">
        <f>IF(Table_BDD[[#This Row],[Position]]="","",(Table_BDD[[#This Row],[Equité après trade]]-Table_BDD[[#This Row],[Equité avant trade]])/Table_BDD[[#This Row],[Equité avant trade]])</f>
        <v>-5.575247822168802E-3</v>
      </c>
      <c r="AK129" s="35" t="str">
        <f>IFERROR(((INDEX(Table_BDD[[Trade n°]:[Valeur fin de journée unique]],Table_BDD[[#This Row],[Nb de trade du jour]]+Table_BDD[[#This Row],[Trade n°]]-1,21))-Table_BDD[[#This Row],[Valeur début de journée unique]])/Table_BDD[[#This Row],[Valeur début de journée unique]],"")</f>
        <v/>
      </c>
      <c r="AL129" s="32">
        <f>IF(Table_BDD[[#This Row],[Position]]="","",MAX(Table_BDD[[#This Row],[Cumul équité]],AL128))</f>
        <v>1052.8399999999999</v>
      </c>
      <c r="AM129" s="32">
        <f>IF(Table_BDD[[#This Row],[Position]]="","",MIN(Table_BDD[[#This Row],[Cumul équité]],AL128))</f>
        <v>827.61000000000013</v>
      </c>
      <c r="AN129" s="97">
        <f>IF(Table_BDD[[#This Row],[Sommet Drawdown]]&gt;AL128,"",Table_BDD[[#This Row],[Creux Drawdown]]/Table_BDD[[#This Row],[Sommet Drawdown]]-1)</f>
        <v>-0.21392614262376031</v>
      </c>
      <c r="AO129" s="36">
        <f>IF(Table_BDD[[#This Row],[Position]]="","",IF(Table_BDD[[#This Row],[Type]]="buy",ROUND(Table_BDD[[#This Row],[Lvl Sortie]]-Table_BDD[[#This Row],[Lvl Entrée]],1),ROUND(Table_BDD[[#This Row],[Lvl Entrée]]-Table_BDD[[#This Row],[Lvl Sortie]],1)))</f>
        <v>-10.1</v>
      </c>
      <c r="AP129" s="36" t="str">
        <f>IF(Table_BDD[[#This Row],[Points]]&gt;0,Table_BDD[[#This Row],[Points]],"")</f>
        <v/>
      </c>
      <c r="AQ129" s="36">
        <f>IF(Table_BDD[[#This Row],[Points]]&lt;0,Table_BDD[[#This Row],[Points]],"")</f>
        <v>-10.1</v>
      </c>
      <c r="AR129" s="36">
        <f>SUM($AO$4:AO129)</f>
        <v>-375.00000000000006</v>
      </c>
      <c r="AS129" s="68">
        <f>IF(Table_BDD[[#This Row],[Position]]="","",IF(Table_BDD[[#This Row],[Conformité]]="Conforme",1,0))</f>
        <v>0</v>
      </c>
      <c r="AT129" s="68">
        <f>IF(Table_BDD[[#This Row],[Position]]="","",IF(Table_BDD[[#This Row],[Conformité]]="Non conforme",1,0))</f>
        <v>1</v>
      </c>
      <c r="AU129" s="37" t="s">
        <v>17</v>
      </c>
      <c r="AV129" s="37"/>
      <c r="AW129" s="37"/>
      <c r="AX129" s="37">
        <v>0</v>
      </c>
      <c r="AY129" s="37">
        <v>0</v>
      </c>
      <c r="AZ129" s="37">
        <v>0</v>
      </c>
      <c r="BA129" s="40" t="str">
        <f>IF(Table_BDD[[#This Row],[Position]]="","Sans objet",IF(AND(Table_BDD[[#This Row],[Type]]="sell",Table_BDD[[#This Row],[S / L]]&lt;Table_BDD[[#This Row],[Lvl Entrée]],Table_BDD[[#This Row],[Lvl Sortie]]&lt;=Table_BDD[[#This Row],[S / L]]+2,Table_BDD[[#This Row],[Lvl Sortie]]&lt;Table_BDD[[#This Row],[Lvl Entrée]]-19),"Oui",IF(AND(Table_BDD[[#This Row],[Type]]="buy",Table_BDD[[#This Row],[S / L]]&gt;Table_BDD[[#This Row],[Lvl Entrée]],Table_BDD[[#This Row],[Lvl Sortie]]&gt;=Table_BDD[[#This Row],[S / L]]-2,Table_BDD[[#This Row],[S / L]]&gt;Table_BDD[[#This Row],[Lvl Entrée]]+19),"Oui","Non")))</f>
        <v>Non</v>
      </c>
      <c r="BB129" s="40" t="str">
        <f>IF(Table_BDD[[#This Row],[Position]]="","Sans objet",IF(AND(Table_BDD[[#This Row],[Type]]="sell",Table_BDD[[#This Row],[S / L]]&lt;Table_BDD[[#This Row],[Lvl Entrée]],Table_BDD[[#This Row],[Points]]&gt;=-1),"Oui",IF(AND(Table_BDD[[#This Row],[Type]]="sell",Table_BDD[[#This Row],[S / L]]&gt;Table_BDD[[#This Row],[Lvl Entrée]]),"Non",IF(AND(Table_BDD[[#This Row],[Type]]="buy",Table_BDD[[#This Row],[S / L]]&lt;Table_BDD[[#This Row],[Lvl Entrée]]),"Non",IF(AND(Table_BDD[[#This Row],[Type]]="buy",Table_BDD[[#This Row],[S / L]]&gt;Table_BDD[[#This Row],[Lvl Entrée]],Table_BDD[[#This Row],[Points]]&gt;=-1),"Oui")))))</f>
        <v>Non</v>
      </c>
      <c r="BC129" s="40" t="str">
        <f>IF(Table_BDD[[#This Row],[Position]]="","Sans objet",IF(Table_BDD[[#This Row],[T / P]]="","Non",IF(AND(Table_BDD[[#This Row],[Type]]="sell",Table_BDD[[#This Row],[Lvl Sortie]]&lt;=Table_BDD[[#This Row],[T / P]]),"Oui",IF(AND(Table_BDD[[#This Row],[Type]]="buy",Table_BDD[[#This Row],[Lvl Sortie]]&gt;=Table_BDD[[#This Row],[T / P]]),"Oui","Non"))))</f>
        <v>Non</v>
      </c>
      <c r="BD129" s="91">
        <f t="array" ref="BD129">IFERROR(INDEX(downloadFile[#All],MATCH(Table_BDD[[#This Row],[Date]],downloadFile[[#All],[Column1]],0),2),BD128)</f>
        <v>1.0842000000000001</v>
      </c>
      <c r="BE129" s="89">
        <f>IF(Table_BDD[[#This Row],[Position]]="","",IF(Table_BDD[[#This Row],[Symbole]]="UsaInd",(Table_BDD[[#This Row],[Volume]]*Table_BDD[[#This Row],[Lvl Entrée]])/(Table_BDD[[#This Row],[Equité avant trade]]*Table_BDD[[#This Row],[EUR/USD]]),IF(Table_BDD[[#This Row],[Symbole]]="Ger30",(Table_BDD[[#This Row],[Volume]]*Table_BDD[[#This Row],[Lvl Entrée]])/Table_BDD[[#This Row],[Equité avant trade]],)))</f>
        <v>16.286690129376268</v>
      </c>
      <c r="BF129" s="38">
        <f>IF(Table_BDD[[#This Row],[Position]]="","",IF(Table_BDD[[#This Row],[Conformité]]="Non conforme",0,(MROUND(3*((Table_BDD[[#This Row],[Conviction]]+Table_BDD[[#This Row],[Timing]]+Table_BDD[[#This Row],[Sortie]])+1)-2,1))))</f>
        <v>0</v>
      </c>
      <c r="BG129" s="38" t="str">
        <f>IF(Table_BDD[[#This Row],[Position]]="","",IF(Table_BDD[[#This Row],[Points]]&lt;-5,"--",IF(AND(Table_BDD[[#This Row],[Points]]&gt;=-5,Table_BDD[[#This Row],[Points]]&lt;-1.5),"-",IF(AND(Table_BDD[[#This Row],[Points]]&gt;=-1.5,Table_BDD[[#This Row],[Points]]&lt;1.5),"0",IF(AND(Table_BDD[[#This Row],[Points]]&gt;=1.5,Table_BDD[[#This Row],[Points]]&lt;=70),"+",IF(Table_BDD[[#This Row],[Points]]&gt;70,"++"))))))</f>
        <v>--</v>
      </c>
      <c r="BH129" s="37" t="str">
        <f>IF(Table_BDD[[#This Row],[Position]]="","",IF(Table_BDD[[#This Row],[Points]]&gt;0,"Gagnant",IF(Table_BDD[[#This Row],[Points]]=0,"Flat","Perdant")))</f>
        <v>Perdant</v>
      </c>
      <c r="BI129" s="40">
        <f>IF(Table_BDD[[#This Row],[Position]]="","",IF(Table_BDD[[#This Row],[Résultat]]="Gagnant",1,0))</f>
        <v>0</v>
      </c>
      <c r="BJ129" s="40">
        <f>IF(Table_BDD[[#This Row],[Position]]="","",IF(Table_BDD[[#This Row],[Résultat]]="Perdant",1,0))</f>
        <v>1</v>
      </c>
      <c r="BK129" s="40"/>
      <c r="BL129" s="145">
        <f>IF(Table_BDD[[#This Row],[T / P]]="","",Table_BDD[[#This Row],[T / P]])</f>
        <v>29591.79</v>
      </c>
      <c r="BM129" s="147"/>
      <c r="BN129" s="147"/>
      <c r="BO129" s="147"/>
      <c r="BP129" s="147"/>
      <c r="BQ129" s="127"/>
    </row>
    <row r="130" spans="1:69" x14ac:dyDescent="0.2">
      <c r="A130" s="93">
        <v>43875.675023148149</v>
      </c>
      <c r="B130" s="94">
        <v>259986491</v>
      </c>
      <c r="C130" s="37" t="s">
        <v>8</v>
      </c>
      <c r="D130" s="37" t="s">
        <v>9</v>
      </c>
      <c r="E130" s="37">
        <v>0.5</v>
      </c>
      <c r="F130" s="95">
        <v>29383.75</v>
      </c>
      <c r="G130" s="95">
        <v>29373.75</v>
      </c>
      <c r="H130" s="95">
        <v>29589.31</v>
      </c>
      <c r="I130" s="93">
        <v>43875.675451388888</v>
      </c>
      <c r="J130" s="95">
        <v>29373.66</v>
      </c>
      <c r="K130" s="95">
        <v>0</v>
      </c>
      <c r="L130" s="95">
        <v>0</v>
      </c>
      <c r="M130" s="32">
        <v>-4.6500000000000004</v>
      </c>
      <c r="N130" s="148">
        <f>IF(Table_BDD[[#This Row],[Position]]="","",ROW()-3)</f>
        <v>127</v>
      </c>
      <c r="O130" s="32">
        <f>SUM($L$4:M130)</f>
        <v>-177.03999999999994</v>
      </c>
      <c r="P130" s="32">
        <f>Table_BDD[[#This Row],[Equité avant trade]]+Table_BDD[[#This Row],[Profit]]+Table_BDD[[#This Row],[Echange]]</f>
        <v>822.96</v>
      </c>
      <c r="Q130" s="52">
        <f>INT(Table_BDD[[#This Row],[Horodatage cloture]])</f>
        <v>43875</v>
      </c>
      <c r="R130" s="34">
        <f>WEEKNUM(Table_BDD[[#This Row],[Horodatage cloture]],2)</f>
        <v>7</v>
      </c>
      <c r="S130" s="61">
        <f>WEEKDAY(Table_BDD[[#This Row],[Horodatage cloture]])</f>
        <v>6</v>
      </c>
      <c r="T130" s="63">
        <f>HOUR(Table_BDD[[#This Row],[Horodatage cloture]])</f>
        <v>16</v>
      </c>
      <c r="U130" s="68">
        <f>IF(Table_BDD[[#This Row],[Position]]="","",IF(Table_BDD[[#This Row],[Valeur début de journée unique]]&lt;&gt;0,1,0))</f>
        <v>0</v>
      </c>
      <c r="V130" s="68" t="str">
        <f>IF(Table_BDD[[#This Row],[Nb de séance de trading]]=1,COUNTIF(Table_BDD[Date],Table_BDD[[#This Row],[Date]]),"")</f>
        <v/>
      </c>
      <c r="W130" s="33">
        <f>IF(Table_BDD[[#This Row],[Position]]="","",IF(Table_BDD[[#This Row],[Type]]="buy",ROUND(Table_BDD[[#This Row],[Lvl Entrée]]-Table_BDD[[#This Row],[S / L]],1),ROUND(Table_BDD[[#This Row],[S / L]]-Table_BDD[[#This Row],[Lvl Entrée]],1)))</f>
        <v>10</v>
      </c>
      <c r="X130" s="33">
        <f>IF(Table_BDD[[#This Row],[Position]]="","",IF(Table_BDD[[#This Row],[T / P]]=0,200,IF(Table_BDD[[#This Row],[Type]]="buy",ROUND(Table_BDD[[#This Row],[T / P]]-Table_BDD[[#This Row],[Lvl Entrée]],1),ROUND(Table_BDD[[#This Row],[Lvl Entrée]]-Table_BDD[[#This Row],[T / P]],1))))</f>
        <v>205.6</v>
      </c>
      <c r="Y130" s="34">
        <f>IF(Table_BDD[[#This Row],[Position]]="","",IF(Table_BDD[[#This Row],[Ecart du SL]]&gt;0,ROUND(ABS(Table_BDD[[#This Row],[Ecart du TP]])/ABS(Table_BDD[[#This Row],[Ecart du SL]]),1),ROUND(ABS(Table_BDD[[#This Row],[Ecart du TP]])/10,1)))</f>
        <v>20.6</v>
      </c>
      <c r="Z130" s="34">
        <f>IF(Table_BDD[[#This Row],[Position]]="","",IF(Table_BDD[[#This Row],[Ecart du SL]]&lt;0,IF(AND(Table_BDD[[#This Row],[Profit]]&gt;0,Table_BDD[[#This Row],[Type]]="sell"),ROUND((Table_BDD[[#This Row],[Lvl Entrée]]-Table_BDD[[#This Row],[Lvl Sortie]])/(10),1),IF(AND(Table_BDD[[#This Row],[Profit]]&gt;0,Table_BDD[[#This Row],[Type]]="buy"),ROUND((Table_BDD[[#This Row],[Lvl Sortie]]-Table_BDD[[#This Row],[Lvl Entrée]])/(10),1),)),IF(AND(Table_BDD[[#This Row],[Profit]]&gt;0,Table_BDD[[#This Row],[Type]]="sell"),ROUND((Table_BDD[[#This Row],[Lvl Entrée]]-Table_BDD[[#This Row],[Lvl Sortie]])/(Table_BDD[[#This Row],[S / L]]-Table_BDD[[#This Row],[Lvl Entrée]]),1),IF(AND(Table_BDD[[#This Row],[Profit]]&gt;0,Table_BDD[[#This Row],[Type]]="buy"),ROUND((Table_BDD[[#This Row],[Lvl Sortie]]-Table_BDD[[#This Row],[Lvl Entrée]])/(Table_BDD[[#This Row],[Lvl Entrée]]-Table_BDD[[#This Row],[S / L]]),1),ROUND(Table_BDD[[#This Row],[Points]]/10,1)))))</f>
        <v>-1</v>
      </c>
      <c r="AA130" s="32">
        <f>IF(Table_BDD[[#This Row],[Position]]="",AA129,Table_BDD[[#This Row],[Equité après trade]]-Table_BDD[[#This Row],[Profit]]-Table_BDD[[#This Row],[Echange]])</f>
        <v>827.61</v>
      </c>
      <c r="AB130" s="149">
        <f>$B$1+SUM($L$4:M130)</f>
        <v>822.96</v>
      </c>
      <c r="AC130" s="150">
        <f>IF(Table_BDD[[#This Row],[Position]]="","",_xlfn.MINIFS(Table_BDD[Horodatage ouverture],Table_BDD[Date],Table_BDD[Date]))</f>
        <v>43875.390983796293</v>
      </c>
      <c r="AD130" s="149">
        <f>VLOOKUP(_xlfn.MINIFS(Table_BDD[Horodatage ouverture],Table_BDD[Date],Table_BDD[Date]),Table_BDD[[Horodatage ouverture]:[Heure derniere valeur]],AA$2)</f>
        <v>867.85</v>
      </c>
      <c r="AE130" s="149">
        <f>IF(VLOOKUP(_xlfn.MINIFS(Table_BDD[Horodatage ouverture],Table_BDD[Date],Table_BDD[Date]),Table_BDD[[Horodatage ouverture]:[Heure derniere valeur]],AA$2)=Table_BDD[[#This Row],[Equité avant trade]],VLOOKUP(_xlfn.MINIFS(Table_BDD[Horodatage ouverture],Table_BDD[Date],Table_BDD[Date]),Table_BDD[[Horodatage ouverture]:[Heure derniere valeur]],AA$2),0)</f>
        <v>0</v>
      </c>
      <c r="AF130" s="150">
        <f>IF(Table_BDD[[#This Row],[Position]]="","",_xlfn.MAXIFS(Table_BDD[Horodatage ouverture],Table_BDD[Date],Table_BDD[Date]))</f>
        <v>43875.829016203701</v>
      </c>
      <c r="AG130" s="32">
        <f>VLOOKUP(_xlfn.MAXIFS(Table_BDD[Horodatage cloture],Table_BDD[Date],Table_BDD[Date]),Table_BDD[[Horodatage ouverture]:[Heure derniere valeur]],AB$2)</f>
        <v>775.01</v>
      </c>
      <c r="AH130" s="32">
        <f>IF(VLOOKUP(_xlfn.MAXIFS(Table_BDD[Horodatage cloture],Table_BDD[Date],Table_BDD[Date]),Table_BDD[[Horodatage ouverture]:[Heure derniere valeur]],AB$2)=Table_BDD[[#This Row],[Equité après trade]],VLOOKUP(_xlfn.MAXIFS(Table_BDD[Horodatage cloture],Table_BDD[Date],Table_BDD[Date]),Table_BDD[[Horodatage ouverture]:[Heure derniere valeur]],AB$2),0)</f>
        <v>0</v>
      </c>
      <c r="AI130" s="32" t="e">
        <f>IF(Table_BDD[[#This Row],[Valeur fin de journée unique]]=0,#N/A,Table_BDD[[#This Row],[Valeur fin de journée unique]])</f>
        <v>#N/A</v>
      </c>
      <c r="AJ130" s="35">
        <f>IF(Table_BDD[[#This Row],[Position]]="","",(Table_BDD[[#This Row],[Equité après trade]]-Table_BDD[[#This Row],[Equité avant trade]])/Table_BDD[[#This Row],[Equité avant trade]])</f>
        <v>-5.6185884655815871E-3</v>
      </c>
      <c r="AK130" s="35" t="str">
        <f>IFERROR(((INDEX(Table_BDD[[Trade n°]:[Valeur fin de journée unique]],Table_BDD[[#This Row],[Nb de trade du jour]]+Table_BDD[[#This Row],[Trade n°]]-1,21))-Table_BDD[[#This Row],[Valeur début de journée unique]])/Table_BDD[[#This Row],[Valeur début de journée unique]],"")</f>
        <v/>
      </c>
      <c r="AL130" s="32">
        <f>IF(Table_BDD[[#This Row],[Position]]="","",MAX(Table_BDD[[#This Row],[Cumul équité]],AL129))</f>
        <v>1052.8399999999999</v>
      </c>
      <c r="AM130" s="32">
        <f>IF(Table_BDD[[#This Row],[Position]]="","",MIN(Table_BDD[[#This Row],[Cumul équité]],AL129))</f>
        <v>822.96</v>
      </c>
      <c r="AN130" s="97">
        <f>IF(Table_BDD[[#This Row],[Sommet Drawdown]]&gt;AL129,"",Table_BDD[[#This Row],[Creux Drawdown]]/Table_BDD[[#This Row],[Sommet Drawdown]]-1)</f>
        <v>-0.21834276813190978</v>
      </c>
      <c r="AO130" s="36">
        <f>IF(Table_BDD[[#This Row],[Position]]="","",IF(Table_BDD[[#This Row],[Type]]="buy",ROUND(Table_BDD[[#This Row],[Lvl Sortie]]-Table_BDD[[#This Row],[Lvl Entrée]],1),ROUND(Table_BDD[[#This Row],[Lvl Entrée]]-Table_BDD[[#This Row],[Lvl Sortie]],1)))</f>
        <v>-10.1</v>
      </c>
      <c r="AP130" s="36" t="str">
        <f>IF(Table_BDD[[#This Row],[Points]]&gt;0,Table_BDD[[#This Row],[Points]],"")</f>
        <v/>
      </c>
      <c r="AQ130" s="36">
        <f>IF(Table_BDD[[#This Row],[Points]]&lt;0,Table_BDD[[#This Row],[Points]],"")</f>
        <v>-10.1</v>
      </c>
      <c r="AR130" s="36">
        <f>SUM($AO$4:AO130)</f>
        <v>-385.10000000000008</v>
      </c>
      <c r="AS130" s="68">
        <f>IF(Table_BDD[[#This Row],[Position]]="","",IF(Table_BDD[[#This Row],[Conformité]]="Conforme",1,0))</f>
        <v>0</v>
      </c>
      <c r="AT130" s="68">
        <f>IF(Table_BDD[[#This Row],[Position]]="","",IF(Table_BDD[[#This Row],[Conformité]]="Non conforme",1,0))</f>
        <v>1</v>
      </c>
      <c r="AU130" s="37" t="s">
        <v>17</v>
      </c>
      <c r="AV130" s="37"/>
      <c r="AW130" s="37"/>
      <c r="AX130" s="37">
        <v>0</v>
      </c>
      <c r="AY130" s="37">
        <v>0</v>
      </c>
      <c r="AZ130" s="37">
        <v>0</v>
      </c>
      <c r="BA130" s="40" t="str">
        <f>IF(Table_BDD[[#This Row],[Position]]="","Sans objet",IF(AND(Table_BDD[[#This Row],[Type]]="sell",Table_BDD[[#This Row],[S / L]]&lt;Table_BDD[[#This Row],[Lvl Entrée]],Table_BDD[[#This Row],[Lvl Sortie]]&lt;=Table_BDD[[#This Row],[S / L]]+2,Table_BDD[[#This Row],[Lvl Sortie]]&lt;Table_BDD[[#This Row],[Lvl Entrée]]-19),"Oui",IF(AND(Table_BDD[[#This Row],[Type]]="buy",Table_BDD[[#This Row],[S / L]]&gt;Table_BDD[[#This Row],[Lvl Entrée]],Table_BDD[[#This Row],[Lvl Sortie]]&gt;=Table_BDD[[#This Row],[S / L]]-2,Table_BDD[[#This Row],[S / L]]&gt;Table_BDD[[#This Row],[Lvl Entrée]]+19),"Oui","Non")))</f>
        <v>Non</v>
      </c>
      <c r="BB130" s="40" t="str">
        <f>IF(Table_BDD[[#This Row],[Position]]="","Sans objet",IF(AND(Table_BDD[[#This Row],[Type]]="sell",Table_BDD[[#This Row],[S / L]]&lt;Table_BDD[[#This Row],[Lvl Entrée]],Table_BDD[[#This Row],[Points]]&gt;=-1),"Oui",IF(AND(Table_BDD[[#This Row],[Type]]="sell",Table_BDD[[#This Row],[S / L]]&gt;Table_BDD[[#This Row],[Lvl Entrée]]),"Non",IF(AND(Table_BDD[[#This Row],[Type]]="buy",Table_BDD[[#This Row],[S / L]]&lt;Table_BDD[[#This Row],[Lvl Entrée]]),"Non",IF(AND(Table_BDD[[#This Row],[Type]]="buy",Table_BDD[[#This Row],[S / L]]&gt;Table_BDD[[#This Row],[Lvl Entrée]],Table_BDD[[#This Row],[Points]]&gt;=-1),"Oui")))))</f>
        <v>Non</v>
      </c>
      <c r="BC130" s="40" t="str">
        <f>IF(Table_BDD[[#This Row],[Position]]="","Sans objet",IF(Table_BDD[[#This Row],[T / P]]="","Non",IF(AND(Table_BDD[[#This Row],[Type]]="sell",Table_BDD[[#This Row],[Lvl Sortie]]&lt;=Table_BDD[[#This Row],[T / P]]),"Oui",IF(AND(Table_BDD[[#This Row],[Type]]="buy",Table_BDD[[#This Row],[Lvl Sortie]]&gt;=Table_BDD[[#This Row],[T / P]]),"Oui","Non"))))</f>
        <v>Non</v>
      </c>
      <c r="BD130" s="91">
        <f t="array" ref="BD130">IFERROR(INDEX(downloadFile[#All],MATCH(Table_BDD[[#This Row],[Date]],downloadFile[[#All],[Column1]],0),2),BD129)</f>
        <v>1.0842000000000001</v>
      </c>
      <c r="BE130" s="89">
        <f>IF(Table_BDD[[#This Row],[Position]]="","",IF(Table_BDD[[#This Row],[Symbole]]="UsaInd",(Table_BDD[[#This Row],[Volume]]*Table_BDD[[#This Row],[Lvl Entrée]])/(Table_BDD[[#This Row],[Equité avant trade]]*Table_BDD[[#This Row],[EUR/USD]]),IF(Table_BDD[[#This Row],[Symbole]]="Ger30",(Table_BDD[[#This Row],[Volume]]*Table_BDD[[#This Row],[Lvl Entrée]])/Table_BDD[[#This Row],[Equité avant trade]],)))</f>
        <v>16.373521413691254</v>
      </c>
      <c r="BF130" s="38">
        <f>IF(Table_BDD[[#This Row],[Position]]="","",IF(Table_BDD[[#This Row],[Conformité]]="Non conforme",0,(MROUND(3*((Table_BDD[[#This Row],[Conviction]]+Table_BDD[[#This Row],[Timing]]+Table_BDD[[#This Row],[Sortie]])+1)-2,1))))</f>
        <v>0</v>
      </c>
      <c r="BG130" s="38" t="str">
        <f>IF(Table_BDD[[#This Row],[Position]]="","",IF(Table_BDD[[#This Row],[Points]]&lt;-5,"--",IF(AND(Table_BDD[[#This Row],[Points]]&gt;=-5,Table_BDD[[#This Row],[Points]]&lt;-1.5),"-",IF(AND(Table_BDD[[#This Row],[Points]]&gt;=-1.5,Table_BDD[[#This Row],[Points]]&lt;1.5),"0",IF(AND(Table_BDD[[#This Row],[Points]]&gt;=1.5,Table_BDD[[#This Row],[Points]]&lt;=70),"+",IF(Table_BDD[[#This Row],[Points]]&gt;70,"++"))))))</f>
        <v>--</v>
      </c>
      <c r="BH130" s="37" t="str">
        <f>IF(Table_BDD[[#This Row],[Position]]="","",IF(Table_BDD[[#This Row],[Points]]&gt;0,"Gagnant",IF(Table_BDD[[#This Row],[Points]]=0,"Flat","Perdant")))</f>
        <v>Perdant</v>
      </c>
      <c r="BI130" s="40">
        <f>IF(Table_BDD[[#This Row],[Position]]="","",IF(Table_BDD[[#This Row],[Résultat]]="Gagnant",1,0))</f>
        <v>0</v>
      </c>
      <c r="BJ130" s="40">
        <f>IF(Table_BDD[[#This Row],[Position]]="","",IF(Table_BDD[[#This Row],[Résultat]]="Perdant",1,0))</f>
        <v>1</v>
      </c>
      <c r="BK130" s="40"/>
      <c r="BL130" s="145">
        <f>IF(Table_BDD[[#This Row],[T / P]]="","",Table_BDD[[#This Row],[T / P]])</f>
        <v>29589.31</v>
      </c>
      <c r="BM130" s="147"/>
      <c r="BN130" s="147"/>
      <c r="BO130" s="147"/>
      <c r="BP130" s="147"/>
      <c r="BQ130" s="127"/>
    </row>
    <row r="131" spans="1:69" x14ac:dyDescent="0.2">
      <c r="A131" s="93">
        <v>43875.675856481481</v>
      </c>
      <c r="B131" s="94">
        <v>259986814</v>
      </c>
      <c r="C131" s="37" t="s">
        <v>8</v>
      </c>
      <c r="D131" s="37" t="s">
        <v>10</v>
      </c>
      <c r="E131" s="37">
        <v>0.5</v>
      </c>
      <c r="F131" s="95">
        <v>29371.58</v>
      </c>
      <c r="G131" s="95">
        <v>29381.58</v>
      </c>
      <c r="H131" s="95"/>
      <c r="I131" s="93">
        <v>43875.676805555559</v>
      </c>
      <c r="J131" s="95">
        <v>29381.67</v>
      </c>
      <c r="K131" s="95">
        <v>0</v>
      </c>
      <c r="L131" s="95">
        <v>0</v>
      </c>
      <c r="M131" s="32">
        <v>-4.6500000000000004</v>
      </c>
      <c r="N131" s="148">
        <f>IF(Table_BDD[[#This Row],[Position]]="","",ROW()-3)</f>
        <v>128</v>
      </c>
      <c r="O131" s="32">
        <f>SUM($L$4:M131)</f>
        <v>-181.68999999999994</v>
      </c>
      <c r="P131" s="32">
        <f>Table_BDD[[#This Row],[Equité avant trade]]+Table_BDD[[#This Row],[Profit]]+Table_BDD[[#This Row],[Echange]]</f>
        <v>818.31000000000006</v>
      </c>
      <c r="Q131" s="52">
        <f>INT(Table_BDD[[#This Row],[Horodatage cloture]])</f>
        <v>43875</v>
      </c>
      <c r="R131" s="34">
        <f>WEEKNUM(Table_BDD[[#This Row],[Horodatage cloture]],2)</f>
        <v>7</v>
      </c>
      <c r="S131" s="61">
        <f>WEEKDAY(Table_BDD[[#This Row],[Horodatage cloture]])</f>
        <v>6</v>
      </c>
      <c r="T131" s="63">
        <f>HOUR(Table_BDD[[#This Row],[Horodatage cloture]])</f>
        <v>16</v>
      </c>
      <c r="U131" s="68">
        <f>IF(Table_BDD[[#This Row],[Position]]="","",IF(Table_BDD[[#This Row],[Valeur début de journée unique]]&lt;&gt;0,1,0))</f>
        <v>0</v>
      </c>
      <c r="V131" s="68" t="str">
        <f>IF(Table_BDD[[#This Row],[Nb de séance de trading]]=1,COUNTIF(Table_BDD[Date],Table_BDD[[#This Row],[Date]]),"")</f>
        <v/>
      </c>
      <c r="W131" s="33">
        <f>IF(Table_BDD[[#This Row],[Position]]="","",IF(Table_BDD[[#This Row],[Type]]="buy",ROUND(Table_BDD[[#This Row],[Lvl Entrée]]-Table_BDD[[#This Row],[S / L]],1),ROUND(Table_BDD[[#This Row],[S / L]]-Table_BDD[[#This Row],[Lvl Entrée]],1)))</f>
        <v>10</v>
      </c>
      <c r="X131" s="33">
        <f>IF(Table_BDD[[#This Row],[Position]]="","",IF(Table_BDD[[#This Row],[T / P]]=0,200,IF(Table_BDD[[#This Row],[Type]]="buy",ROUND(Table_BDD[[#This Row],[T / P]]-Table_BDD[[#This Row],[Lvl Entrée]],1),ROUND(Table_BDD[[#This Row],[Lvl Entrée]]-Table_BDD[[#This Row],[T / P]],1))))</f>
        <v>200</v>
      </c>
      <c r="Y131" s="34">
        <f>IF(Table_BDD[[#This Row],[Position]]="","",IF(Table_BDD[[#This Row],[Ecart du SL]]&gt;0,ROUND(ABS(Table_BDD[[#This Row],[Ecart du TP]])/ABS(Table_BDD[[#This Row],[Ecart du SL]]),1),ROUND(ABS(Table_BDD[[#This Row],[Ecart du TP]])/10,1)))</f>
        <v>20</v>
      </c>
      <c r="Z131" s="34">
        <f>IF(Table_BDD[[#This Row],[Position]]="","",IF(Table_BDD[[#This Row],[Ecart du SL]]&lt;0,IF(AND(Table_BDD[[#This Row],[Profit]]&gt;0,Table_BDD[[#This Row],[Type]]="sell"),ROUND((Table_BDD[[#This Row],[Lvl Entrée]]-Table_BDD[[#This Row],[Lvl Sortie]])/(10),1),IF(AND(Table_BDD[[#This Row],[Profit]]&gt;0,Table_BDD[[#This Row],[Type]]="buy"),ROUND((Table_BDD[[#This Row],[Lvl Sortie]]-Table_BDD[[#This Row],[Lvl Entrée]])/(10),1),)),IF(AND(Table_BDD[[#This Row],[Profit]]&gt;0,Table_BDD[[#This Row],[Type]]="sell"),ROUND((Table_BDD[[#This Row],[Lvl Entrée]]-Table_BDD[[#This Row],[Lvl Sortie]])/(Table_BDD[[#This Row],[S / L]]-Table_BDD[[#This Row],[Lvl Entrée]]),1),IF(AND(Table_BDD[[#This Row],[Profit]]&gt;0,Table_BDD[[#This Row],[Type]]="buy"),ROUND((Table_BDD[[#This Row],[Lvl Sortie]]-Table_BDD[[#This Row],[Lvl Entrée]])/(Table_BDD[[#This Row],[Lvl Entrée]]-Table_BDD[[#This Row],[S / L]]),1),ROUND(Table_BDD[[#This Row],[Points]]/10,1)))))</f>
        <v>-1</v>
      </c>
      <c r="AA131" s="32">
        <f>IF(Table_BDD[[#This Row],[Position]]="",AA130,Table_BDD[[#This Row],[Equité après trade]]-Table_BDD[[#This Row],[Profit]]-Table_BDD[[#This Row],[Echange]])</f>
        <v>822.96</v>
      </c>
      <c r="AB131" s="149">
        <f>$B$1+SUM($L$4:M131)</f>
        <v>818.31000000000006</v>
      </c>
      <c r="AC131" s="150">
        <f>IF(Table_BDD[[#This Row],[Position]]="","",_xlfn.MINIFS(Table_BDD[Horodatage ouverture],Table_BDD[Date],Table_BDD[Date]))</f>
        <v>43875.390983796293</v>
      </c>
      <c r="AD131" s="149">
        <f>VLOOKUP(_xlfn.MINIFS(Table_BDD[Horodatage ouverture],Table_BDD[Date],Table_BDD[Date]),Table_BDD[[Horodatage ouverture]:[Heure derniere valeur]],AA$2)</f>
        <v>867.85</v>
      </c>
      <c r="AE131" s="149">
        <f>IF(VLOOKUP(_xlfn.MINIFS(Table_BDD[Horodatage ouverture],Table_BDD[Date],Table_BDD[Date]),Table_BDD[[Horodatage ouverture]:[Heure derniere valeur]],AA$2)=Table_BDD[[#This Row],[Equité avant trade]],VLOOKUP(_xlfn.MINIFS(Table_BDD[Horodatage ouverture],Table_BDD[Date],Table_BDD[Date]),Table_BDD[[Horodatage ouverture]:[Heure derniere valeur]],AA$2),0)</f>
        <v>0</v>
      </c>
      <c r="AF131" s="150">
        <f>IF(Table_BDD[[#This Row],[Position]]="","",_xlfn.MAXIFS(Table_BDD[Horodatage ouverture],Table_BDD[Date],Table_BDD[Date]))</f>
        <v>43875.829016203701</v>
      </c>
      <c r="AG131" s="32">
        <f>VLOOKUP(_xlfn.MAXIFS(Table_BDD[Horodatage cloture],Table_BDD[Date],Table_BDD[Date]),Table_BDD[[Horodatage ouverture]:[Heure derniere valeur]],AB$2)</f>
        <v>775.01</v>
      </c>
      <c r="AH131" s="32">
        <f>IF(VLOOKUP(_xlfn.MAXIFS(Table_BDD[Horodatage cloture],Table_BDD[Date],Table_BDD[Date]),Table_BDD[[Horodatage ouverture]:[Heure derniere valeur]],AB$2)=Table_BDD[[#This Row],[Equité après trade]],VLOOKUP(_xlfn.MAXIFS(Table_BDD[Horodatage cloture],Table_BDD[Date],Table_BDD[Date]),Table_BDD[[Horodatage ouverture]:[Heure derniere valeur]],AB$2),0)</f>
        <v>0</v>
      </c>
      <c r="AI131" s="32" t="e">
        <f>IF(Table_BDD[[#This Row],[Valeur fin de journée unique]]=0,#N/A,Table_BDD[[#This Row],[Valeur fin de journée unique]])</f>
        <v>#N/A</v>
      </c>
      <c r="AJ131" s="35">
        <f>IF(Table_BDD[[#This Row],[Position]]="","",(Table_BDD[[#This Row],[Equité après trade]]-Table_BDD[[#This Row],[Equité avant trade]])/Table_BDD[[#This Row],[Equité avant trade]])</f>
        <v>-5.6503353747447953E-3</v>
      </c>
      <c r="AK131" s="35" t="str">
        <f>IFERROR(((INDEX(Table_BDD[[Trade n°]:[Valeur fin de journée unique]],Table_BDD[[#This Row],[Nb de trade du jour]]+Table_BDD[[#This Row],[Trade n°]]-1,21))-Table_BDD[[#This Row],[Valeur début de journée unique]])/Table_BDD[[#This Row],[Valeur début de journée unique]],"")</f>
        <v/>
      </c>
      <c r="AL131" s="32">
        <f>IF(Table_BDD[[#This Row],[Position]]="","",MAX(Table_BDD[[#This Row],[Cumul équité]],AL130))</f>
        <v>1052.8399999999999</v>
      </c>
      <c r="AM131" s="32">
        <f>IF(Table_BDD[[#This Row],[Position]]="","",MIN(Table_BDD[[#This Row],[Cumul équité]],AL130))</f>
        <v>818.31000000000006</v>
      </c>
      <c r="AN131" s="97">
        <f>IF(Table_BDD[[#This Row],[Sommet Drawdown]]&gt;AL130,"",Table_BDD[[#This Row],[Creux Drawdown]]/Table_BDD[[#This Row],[Sommet Drawdown]]-1)</f>
        <v>-0.22275939364005914</v>
      </c>
      <c r="AO131" s="36">
        <f>IF(Table_BDD[[#This Row],[Position]]="","",IF(Table_BDD[[#This Row],[Type]]="buy",ROUND(Table_BDD[[#This Row],[Lvl Sortie]]-Table_BDD[[#This Row],[Lvl Entrée]],1),ROUND(Table_BDD[[#This Row],[Lvl Entrée]]-Table_BDD[[#This Row],[Lvl Sortie]],1)))</f>
        <v>-10.1</v>
      </c>
      <c r="AP131" s="36" t="str">
        <f>IF(Table_BDD[[#This Row],[Points]]&gt;0,Table_BDD[[#This Row],[Points]],"")</f>
        <v/>
      </c>
      <c r="AQ131" s="36">
        <f>IF(Table_BDD[[#This Row],[Points]]&lt;0,Table_BDD[[#This Row],[Points]],"")</f>
        <v>-10.1</v>
      </c>
      <c r="AR131" s="36">
        <f>SUM($AO$4:AO131)</f>
        <v>-395.2000000000001</v>
      </c>
      <c r="AS131" s="68">
        <f>IF(Table_BDD[[#This Row],[Position]]="","",IF(Table_BDD[[#This Row],[Conformité]]="Conforme",1,0))</f>
        <v>0</v>
      </c>
      <c r="AT131" s="68">
        <f>IF(Table_BDD[[#This Row],[Position]]="","",IF(Table_BDD[[#This Row],[Conformité]]="Non conforme",1,0))</f>
        <v>1</v>
      </c>
      <c r="AU131" s="37" t="s">
        <v>17</v>
      </c>
      <c r="AV131" s="37"/>
      <c r="AW131" s="37"/>
      <c r="AX131" s="37">
        <v>0</v>
      </c>
      <c r="AY131" s="37">
        <v>0</v>
      </c>
      <c r="AZ131" s="37">
        <v>0</v>
      </c>
      <c r="BA131" s="40" t="str">
        <f>IF(Table_BDD[[#This Row],[Position]]="","Sans objet",IF(AND(Table_BDD[[#This Row],[Type]]="sell",Table_BDD[[#This Row],[S / L]]&lt;Table_BDD[[#This Row],[Lvl Entrée]],Table_BDD[[#This Row],[Lvl Sortie]]&lt;=Table_BDD[[#This Row],[S / L]]+2,Table_BDD[[#This Row],[Lvl Sortie]]&lt;Table_BDD[[#This Row],[Lvl Entrée]]-19),"Oui",IF(AND(Table_BDD[[#This Row],[Type]]="buy",Table_BDD[[#This Row],[S / L]]&gt;Table_BDD[[#This Row],[Lvl Entrée]],Table_BDD[[#This Row],[Lvl Sortie]]&gt;=Table_BDD[[#This Row],[S / L]]-2,Table_BDD[[#This Row],[S / L]]&gt;Table_BDD[[#This Row],[Lvl Entrée]]+19),"Oui","Non")))</f>
        <v>Non</v>
      </c>
      <c r="BB131" s="40" t="str">
        <f>IF(Table_BDD[[#This Row],[Position]]="","Sans objet",IF(AND(Table_BDD[[#This Row],[Type]]="sell",Table_BDD[[#This Row],[S / L]]&lt;Table_BDD[[#This Row],[Lvl Entrée]],Table_BDD[[#This Row],[Points]]&gt;=-1),"Oui",IF(AND(Table_BDD[[#This Row],[Type]]="sell",Table_BDD[[#This Row],[S / L]]&gt;Table_BDD[[#This Row],[Lvl Entrée]]),"Non",IF(AND(Table_BDD[[#This Row],[Type]]="buy",Table_BDD[[#This Row],[S / L]]&lt;Table_BDD[[#This Row],[Lvl Entrée]]),"Non",IF(AND(Table_BDD[[#This Row],[Type]]="buy",Table_BDD[[#This Row],[S / L]]&gt;Table_BDD[[#This Row],[Lvl Entrée]],Table_BDD[[#This Row],[Points]]&gt;=-1),"Oui")))))</f>
        <v>Non</v>
      </c>
      <c r="BC131" s="40" t="str">
        <f>IF(Table_BDD[[#This Row],[Position]]="","Sans objet",IF(Table_BDD[[#This Row],[T / P]]="","Non",IF(AND(Table_BDD[[#This Row],[Type]]="sell",Table_BDD[[#This Row],[Lvl Sortie]]&lt;=Table_BDD[[#This Row],[T / P]]),"Oui",IF(AND(Table_BDD[[#This Row],[Type]]="buy",Table_BDD[[#This Row],[Lvl Sortie]]&gt;=Table_BDD[[#This Row],[T / P]]),"Oui","Non"))))</f>
        <v>Non</v>
      </c>
      <c r="BD131" s="91">
        <f t="array" ref="BD131">IFERROR(INDEX(downloadFile[#All],MATCH(Table_BDD[[#This Row],[Date]],downloadFile[[#All],[Column1]],0),2),BD130)</f>
        <v>1.0842000000000001</v>
      </c>
      <c r="BE131" s="89">
        <f>IF(Table_BDD[[#This Row],[Position]]="","",IF(Table_BDD[[#This Row],[Symbole]]="UsaInd",(Table_BDD[[#This Row],[Volume]]*Table_BDD[[#This Row],[Lvl Entrée]])/(Table_BDD[[#This Row],[Equité avant trade]]*Table_BDD[[#This Row],[EUR/USD]]),IF(Table_BDD[[#This Row],[Symbole]]="Ger30",(Table_BDD[[#This Row],[Volume]]*Table_BDD[[#This Row],[Lvl Entrée]])/Table_BDD[[#This Row],[Equité avant trade]],)))</f>
        <v>16.459217488158114</v>
      </c>
      <c r="BF131" s="38">
        <f>IF(Table_BDD[[#This Row],[Position]]="","",IF(Table_BDD[[#This Row],[Conformité]]="Non conforme",0,(MROUND(3*((Table_BDD[[#This Row],[Conviction]]+Table_BDD[[#This Row],[Timing]]+Table_BDD[[#This Row],[Sortie]])+1)-2,1))))</f>
        <v>0</v>
      </c>
      <c r="BG131" s="38" t="str">
        <f>IF(Table_BDD[[#This Row],[Position]]="","",IF(Table_BDD[[#This Row],[Points]]&lt;-5,"--",IF(AND(Table_BDD[[#This Row],[Points]]&gt;=-5,Table_BDD[[#This Row],[Points]]&lt;-1.5),"-",IF(AND(Table_BDD[[#This Row],[Points]]&gt;=-1.5,Table_BDD[[#This Row],[Points]]&lt;1.5),"0",IF(AND(Table_BDD[[#This Row],[Points]]&gt;=1.5,Table_BDD[[#This Row],[Points]]&lt;=70),"+",IF(Table_BDD[[#This Row],[Points]]&gt;70,"++"))))))</f>
        <v>--</v>
      </c>
      <c r="BH131" s="37" t="str">
        <f>IF(Table_BDD[[#This Row],[Position]]="","",IF(Table_BDD[[#This Row],[Points]]&gt;0,"Gagnant",IF(Table_BDD[[#This Row],[Points]]=0,"Flat","Perdant")))</f>
        <v>Perdant</v>
      </c>
      <c r="BI131" s="40">
        <f>IF(Table_BDD[[#This Row],[Position]]="","",IF(Table_BDD[[#This Row],[Résultat]]="Gagnant",1,0))</f>
        <v>0</v>
      </c>
      <c r="BJ131" s="40">
        <f>IF(Table_BDD[[#This Row],[Position]]="","",IF(Table_BDD[[#This Row],[Résultat]]="Perdant",1,0))</f>
        <v>1</v>
      </c>
      <c r="BK131" s="40"/>
      <c r="BL131" s="145" t="str">
        <f>IF(Table_BDD[[#This Row],[T / P]]="","",Table_BDD[[#This Row],[T / P]])</f>
        <v/>
      </c>
      <c r="BM131" s="147"/>
      <c r="BN131" s="147"/>
      <c r="BO131" s="147"/>
      <c r="BP131" s="147"/>
      <c r="BQ131" s="127"/>
    </row>
    <row r="132" spans="1:69" x14ac:dyDescent="0.2">
      <c r="A132" s="93">
        <v>43875.678159722222</v>
      </c>
      <c r="B132" s="94">
        <v>259987332</v>
      </c>
      <c r="C132" s="37" t="s">
        <v>8</v>
      </c>
      <c r="D132" s="37" t="s">
        <v>10</v>
      </c>
      <c r="E132" s="37">
        <v>0.5</v>
      </c>
      <c r="F132" s="95">
        <v>29389.51</v>
      </c>
      <c r="G132" s="95">
        <v>29399.51</v>
      </c>
      <c r="H132" s="95"/>
      <c r="I132" s="93">
        <v>43875.679502314815</v>
      </c>
      <c r="J132" s="95">
        <v>29399.52</v>
      </c>
      <c r="K132" s="95">
        <v>0</v>
      </c>
      <c r="L132" s="95">
        <v>0</v>
      </c>
      <c r="M132" s="32">
        <v>-4.62</v>
      </c>
      <c r="N132" s="148">
        <f>IF(Table_BDD[[#This Row],[Position]]="","",ROW()-3)</f>
        <v>129</v>
      </c>
      <c r="O132" s="32">
        <f>SUM($L$4:M132)</f>
        <v>-186.30999999999995</v>
      </c>
      <c r="P132" s="32">
        <f>Table_BDD[[#This Row],[Equité avant trade]]+Table_BDD[[#This Row],[Profit]]+Table_BDD[[#This Row],[Echange]]</f>
        <v>813.69</v>
      </c>
      <c r="Q132" s="52">
        <f>INT(Table_BDD[[#This Row],[Horodatage cloture]])</f>
        <v>43875</v>
      </c>
      <c r="R132" s="34">
        <f>WEEKNUM(Table_BDD[[#This Row],[Horodatage cloture]],2)</f>
        <v>7</v>
      </c>
      <c r="S132" s="61">
        <f>WEEKDAY(Table_BDD[[#This Row],[Horodatage cloture]])</f>
        <v>6</v>
      </c>
      <c r="T132" s="63">
        <f>HOUR(Table_BDD[[#This Row],[Horodatage cloture]])</f>
        <v>16</v>
      </c>
      <c r="U132" s="68">
        <f>IF(Table_BDD[[#This Row],[Position]]="","",IF(Table_BDD[[#This Row],[Valeur début de journée unique]]&lt;&gt;0,1,0))</f>
        <v>0</v>
      </c>
      <c r="V132" s="68" t="str">
        <f>IF(Table_BDD[[#This Row],[Nb de séance de trading]]=1,COUNTIF(Table_BDD[Date],Table_BDD[[#This Row],[Date]]),"")</f>
        <v/>
      </c>
      <c r="W132" s="33">
        <f>IF(Table_BDD[[#This Row],[Position]]="","",IF(Table_BDD[[#This Row],[Type]]="buy",ROUND(Table_BDD[[#This Row],[Lvl Entrée]]-Table_BDD[[#This Row],[S / L]],1),ROUND(Table_BDD[[#This Row],[S / L]]-Table_BDD[[#This Row],[Lvl Entrée]],1)))</f>
        <v>10</v>
      </c>
      <c r="X132" s="33">
        <f>IF(Table_BDD[[#This Row],[Position]]="","",IF(Table_BDD[[#This Row],[T / P]]=0,200,IF(Table_BDD[[#This Row],[Type]]="buy",ROUND(Table_BDD[[#This Row],[T / P]]-Table_BDD[[#This Row],[Lvl Entrée]],1),ROUND(Table_BDD[[#This Row],[Lvl Entrée]]-Table_BDD[[#This Row],[T / P]],1))))</f>
        <v>200</v>
      </c>
      <c r="Y132" s="34">
        <f>IF(Table_BDD[[#This Row],[Position]]="","",IF(Table_BDD[[#This Row],[Ecart du SL]]&gt;0,ROUND(ABS(Table_BDD[[#This Row],[Ecart du TP]])/ABS(Table_BDD[[#This Row],[Ecart du SL]]),1),ROUND(ABS(Table_BDD[[#This Row],[Ecart du TP]])/10,1)))</f>
        <v>20</v>
      </c>
      <c r="Z132" s="34">
        <f>IF(Table_BDD[[#This Row],[Position]]="","",IF(Table_BDD[[#This Row],[Ecart du SL]]&lt;0,IF(AND(Table_BDD[[#This Row],[Profit]]&gt;0,Table_BDD[[#This Row],[Type]]="sell"),ROUND((Table_BDD[[#This Row],[Lvl Entrée]]-Table_BDD[[#This Row],[Lvl Sortie]])/(10),1),IF(AND(Table_BDD[[#This Row],[Profit]]&gt;0,Table_BDD[[#This Row],[Type]]="buy"),ROUND((Table_BDD[[#This Row],[Lvl Sortie]]-Table_BDD[[#This Row],[Lvl Entrée]])/(10),1),)),IF(AND(Table_BDD[[#This Row],[Profit]]&gt;0,Table_BDD[[#This Row],[Type]]="sell"),ROUND((Table_BDD[[#This Row],[Lvl Entrée]]-Table_BDD[[#This Row],[Lvl Sortie]])/(Table_BDD[[#This Row],[S / L]]-Table_BDD[[#This Row],[Lvl Entrée]]),1),IF(AND(Table_BDD[[#This Row],[Profit]]&gt;0,Table_BDD[[#This Row],[Type]]="buy"),ROUND((Table_BDD[[#This Row],[Lvl Sortie]]-Table_BDD[[#This Row],[Lvl Entrée]])/(Table_BDD[[#This Row],[Lvl Entrée]]-Table_BDD[[#This Row],[S / L]]),1),ROUND(Table_BDD[[#This Row],[Points]]/10,1)))))</f>
        <v>-1</v>
      </c>
      <c r="AA132" s="32">
        <f>IF(Table_BDD[[#This Row],[Position]]="",AA131,Table_BDD[[#This Row],[Equité après trade]]-Table_BDD[[#This Row],[Profit]]-Table_BDD[[#This Row],[Echange]])</f>
        <v>818.31000000000006</v>
      </c>
      <c r="AB132" s="149">
        <f>$B$1+SUM($L$4:M132)</f>
        <v>813.69</v>
      </c>
      <c r="AC132" s="150">
        <f>IF(Table_BDD[[#This Row],[Position]]="","",_xlfn.MINIFS(Table_BDD[Horodatage ouverture],Table_BDD[Date],Table_BDD[Date]))</f>
        <v>43875.390983796293</v>
      </c>
      <c r="AD132" s="149">
        <f>VLOOKUP(_xlfn.MINIFS(Table_BDD[Horodatage ouverture],Table_BDD[Date],Table_BDD[Date]),Table_BDD[[Horodatage ouverture]:[Heure derniere valeur]],AA$2)</f>
        <v>867.85</v>
      </c>
      <c r="AE132" s="149">
        <f>IF(VLOOKUP(_xlfn.MINIFS(Table_BDD[Horodatage ouverture],Table_BDD[Date],Table_BDD[Date]),Table_BDD[[Horodatage ouverture]:[Heure derniere valeur]],AA$2)=Table_BDD[[#This Row],[Equité avant trade]],VLOOKUP(_xlfn.MINIFS(Table_BDD[Horodatage ouverture],Table_BDD[Date],Table_BDD[Date]),Table_BDD[[Horodatage ouverture]:[Heure derniere valeur]],AA$2),0)</f>
        <v>0</v>
      </c>
      <c r="AF132" s="150">
        <f>IF(Table_BDD[[#This Row],[Position]]="","",_xlfn.MAXIFS(Table_BDD[Horodatage ouverture],Table_BDD[Date],Table_BDD[Date]))</f>
        <v>43875.829016203701</v>
      </c>
      <c r="AG132" s="32">
        <f>VLOOKUP(_xlfn.MAXIFS(Table_BDD[Horodatage cloture],Table_BDD[Date],Table_BDD[Date]),Table_BDD[[Horodatage ouverture]:[Heure derniere valeur]],AB$2)</f>
        <v>775.01</v>
      </c>
      <c r="AH132" s="32">
        <f>IF(VLOOKUP(_xlfn.MAXIFS(Table_BDD[Horodatage cloture],Table_BDD[Date],Table_BDD[Date]),Table_BDD[[Horodatage ouverture]:[Heure derniere valeur]],AB$2)=Table_BDD[[#This Row],[Equité après trade]],VLOOKUP(_xlfn.MAXIFS(Table_BDD[Horodatage cloture],Table_BDD[Date],Table_BDD[Date]),Table_BDD[[Horodatage ouverture]:[Heure derniere valeur]],AB$2),0)</f>
        <v>0</v>
      </c>
      <c r="AI132" s="32" t="e">
        <f>IF(Table_BDD[[#This Row],[Valeur fin de journée unique]]=0,#N/A,Table_BDD[[#This Row],[Valeur fin de journée unique]])</f>
        <v>#N/A</v>
      </c>
      <c r="AJ132" s="35">
        <f>IF(Table_BDD[[#This Row],[Position]]="","",(Table_BDD[[#This Row],[Equité après trade]]-Table_BDD[[#This Row],[Equité avant trade]])/Table_BDD[[#This Row],[Equité avant trade]])</f>
        <v>-5.6457821607948143E-3</v>
      </c>
      <c r="AK132" s="35" t="str">
        <f>IFERROR(((INDEX(Table_BDD[[Trade n°]:[Valeur fin de journée unique]],Table_BDD[[#This Row],[Nb de trade du jour]]+Table_BDD[[#This Row],[Trade n°]]-1,21))-Table_BDD[[#This Row],[Valeur début de journée unique]])/Table_BDD[[#This Row],[Valeur début de journée unique]],"")</f>
        <v/>
      </c>
      <c r="AL132" s="32">
        <f>IF(Table_BDD[[#This Row],[Position]]="","",MAX(Table_BDD[[#This Row],[Cumul équité]],AL131))</f>
        <v>1052.8399999999999</v>
      </c>
      <c r="AM132" s="32">
        <f>IF(Table_BDD[[#This Row],[Position]]="","",MIN(Table_BDD[[#This Row],[Cumul équité]],AL131))</f>
        <v>813.69</v>
      </c>
      <c r="AN132" s="97">
        <f>IF(Table_BDD[[#This Row],[Sommet Drawdown]]&gt;AL131,"",Table_BDD[[#This Row],[Creux Drawdown]]/Table_BDD[[#This Row],[Sommet Drawdown]]-1)</f>
        <v>-0.22714752479009148</v>
      </c>
      <c r="AO132" s="36">
        <f>IF(Table_BDD[[#This Row],[Position]]="","",IF(Table_BDD[[#This Row],[Type]]="buy",ROUND(Table_BDD[[#This Row],[Lvl Sortie]]-Table_BDD[[#This Row],[Lvl Entrée]],1),ROUND(Table_BDD[[#This Row],[Lvl Entrée]]-Table_BDD[[#This Row],[Lvl Sortie]],1)))</f>
        <v>-10</v>
      </c>
      <c r="AP132" s="36" t="str">
        <f>IF(Table_BDD[[#This Row],[Points]]&gt;0,Table_BDD[[#This Row],[Points]],"")</f>
        <v/>
      </c>
      <c r="AQ132" s="36">
        <f>IF(Table_BDD[[#This Row],[Points]]&lt;0,Table_BDD[[#This Row],[Points]],"")</f>
        <v>-10</v>
      </c>
      <c r="AR132" s="36">
        <f>SUM($AO$4:AO132)</f>
        <v>-405.2000000000001</v>
      </c>
      <c r="AS132" s="68">
        <f>IF(Table_BDD[[#This Row],[Position]]="","",IF(Table_BDD[[#This Row],[Conformité]]="Conforme",1,0))</f>
        <v>0</v>
      </c>
      <c r="AT132" s="68">
        <f>IF(Table_BDD[[#This Row],[Position]]="","",IF(Table_BDD[[#This Row],[Conformité]]="Non conforme",1,0))</f>
        <v>1</v>
      </c>
      <c r="AU132" s="37" t="s">
        <v>17</v>
      </c>
      <c r="AV132" s="37"/>
      <c r="AW132" s="37"/>
      <c r="AX132" s="37">
        <v>0</v>
      </c>
      <c r="AY132" s="37">
        <v>0</v>
      </c>
      <c r="AZ132" s="37">
        <v>0</v>
      </c>
      <c r="BA132" s="40" t="str">
        <f>IF(Table_BDD[[#This Row],[Position]]="","Sans objet",IF(AND(Table_BDD[[#This Row],[Type]]="sell",Table_BDD[[#This Row],[S / L]]&lt;Table_BDD[[#This Row],[Lvl Entrée]],Table_BDD[[#This Row],[Lvl Sortie]]&lt;=Table_BDD[[#This Row],[S / L]]+2,Table_BDD[[#This Row],[Lvl Sortie]]&lt;Table_BDD[[#This Row],[Lvl Entrée]]-19),"Oui",IF(AND(Table_BDD[[#This Row],[Type]]="buy",Table_BDD[[#This Row],[S / L]]&gt;Table_BDD[[#This Row],[Lvl Entrée]],Table_BDD[[#This Row],[Lvl Sortie]]&gt;=Table_BDD[[#This Row],[S / L]]-2,Table_BDD[[#This Row],[S / L]]&gt;Table_BDD[[#This Row],[Lvl Entrée]]+19),"Oui","Non")))</f>
        <v>Non</v>
      </c>
      <c r="BB132" s="40" t="str">
        <f>IF(Table_BDD[[#This Row],[Position]]="","Sans objet",IF(AND(Table_BDD[[#This Row],[Type]]="sell",Table_BDD[[#This Row],[S / L]]&lt;Table_BDD[[#This Row],[Lvl Entrée]],Table_BDD[[#This Row],[Points]]&gt;=-1),"Oui",IF(AND(Table_BDD[[#This Row],[Type]]="sell",Table_BDD[[#This Row],[S / L]]&gt;Table_BDD[[#This Row],[Lvl Entrée]]),"Non",IF(AND(Table_BDD[[#This Row],[Type]]="buy",Table_BDD[[#This Row],[S / L]]&lt;Table_BDD[[#This Row],[Lvl Entrée]]),"Non",IF(AND(Table_BDD[[#This Row],[Type]]="buy",Table_BDD[[#This Row],[S / L]]&gt;Table_BDD[[#This Row],[Lvl Entrée]],Table_BDD[[#This Row],[Points]]&gt;=-1),"Oui")))))</f>
        <v>Non</v>
      </c>
      <c r="BC132" s="40" t="str">
        <f>IF(Table_BDD[[#This Row],[Position]]="","Sans objet",IF(Table_BDD[[#This Row],[T / P]]="","Non",IF(AND(Table_BDD[[#This Row],[Type]]="sell",Table_BDD[[#This Row],[Lvl Sortie]]&lt;=Table_BDD[[#This Row],[T / P]]),"Oui",IF(AND(Table_BDD[[#This Row],[Type]]="buy",Table_BDD[[#This Row],[Lvl Sortie]]&gt;=Table_BDD[[#This Row],[T / P]]),"Oui","Non"))))</f>
        <v>Non</v>
      </c>
      <c r="BD132" s="91">
        <f t="array" ref="BD132">IFERROR(INDEX(downloadFile[#All],MATCH(Table_BDD[[#This Row],[Date]],downloadFile[[#All],[Column1]],0),2),BD131)</f>
        <v>1.0842000000000001</v>
      </c>
      <c r="BE132" s="89">
        <f>IF(Table_BDD[[#This Row],[Position]]="","",IF(Table_BDD[[#This Row],[Symbole]]="UsaInd",(Table_BDD[[#This Row],[Volume]]*Table_BDD[[#This Row],[Lvl Entrée]])/(Table_BDD[[#This Row],[Equité avant trade]]*Table_BDD[[#This Row],[EUR/USD]]),IF(Table_BDD[[#This Row],[Symbole]]="Ger30",(Table_BDD[[#This Row],[Volume]]*Table_BDD[[#This Row],[Lvl Entrée]])/Table_BDD[[#This Row],[Equité avant trade]],)))</f>
        <v>16.562850745627337</v>
      </c>
      <c r="BF132" s="38">
        <f>IF(Table_BDD[[#This Row],[Position]]="","",IF(Table_BDD[[#This Row],[Conformité]]="Non conforme",0,(MROUND(3*((Table_BDD[[#This Row],[Conviction]]+Table_BDD[[#This Row],[Timing]]+Table_BDD[[#This Row],[Sortie]])+1)-2,1))))</f>
        <v>0</v>
      </c>
      <c r="BG132" s="38" t="str">
        <f>IF(Table_BDD[[#This Row],[Position]]="","",IF(Table_BDD[[#This Row],[Points]]&lt;-5,"--",IF(AND(Table_BDD[[#This Row],[Points]]&gt;=-5,Table_BDD[[#This Row],[Points]]&lt;-1.5),"-",IF(AND(Table_BDD[[#This Row],[Points]]&gt;=-1.5,Table_BDD[[#This Row],[Points]]&lt;1.5),"0",IF(AND(Table_BDD[[#This Row],[Points]]&gt;=1.5,Table_BDD[[#This Row],[Points]]&lt;=70),"+",IF(Table_BDD[[#This Row],[Points]]&gt;70,"++"))))))</f>
        <v>--</v>
      </c>
      <c r="BH132" s="37" t="str">
        <f>IF(Table_BDD[[#This Row],[Position]]="","",IF(Table_BDD[[#This Row],[Points]]&gt;0,"Gagnant",IF(Table_BDD[[#This Row],[Points]]=0,"Flat","Perdant")))</f>
        <v>Perdant</v>
      </c>
      <c r="BI132" s="40">
        <f>IF(Table_BDD[[#This Row],[Position]]="","",IF(Table_BDD[[#This Row],[Résultat]]="Gagnant",1,0))</f>
        <v>0</v>
      </c>
      <c r="BJ132" s="40">
        <f>IF(Table_BDD[[#This Row],[Position]]="","",IF(Table_BDD[[#This Row],[Résultat]]="Perdant",1,0))</f>
        <v>1</v>
      </c>
      <c r="BK132" s="40"/>
      <c r="BL132" s="145" t="str">
        <f>IF(Table_BDD[[#This Row],[T / P]]="","",Table_BDD[[#This Row],[T / P]])</f>
        <v/>
      </c>
      <c r="BM132" s="147"/>
      <c r="BN132" s="147"/>
      <c r="BO132" s="147"/>
      <c r="BP132" s="147"/>
      <c r="BQ132" s="127"/>
    </row>
    <row r="133" spans="1:69" x14ac:dyDescent="0.2">
      <c r="A133" s="93">
        <v>43875.703009259261</v>
      </c>
      <c r="B133" s="94">
        <v>259990956</v>
      </c>
      <c r="C133" s="37" t="s">
        <v>8</v>
      </c>
      <c r="D133" s="37" t="s">
        <v>9</v>
      </c>
      <c r="E133" s="37">
        <v>0.5</v>
      </c>
      <c r="F133" s="95">
        <v>29429.85</v>
      </c>
      <c r="G133" s="95">
        <v>29419.85</v>
      </c>
      <c r="H133" s="95">
        <v>29590.25</v>
      </c>
      <c r="I133" s="93">
        <v>43875.703587962962</v>
      </c>
      <c r="J133" s="95">
        <v>29419.57</v>
      </c>
      <c r="K133" s="95">
        <v>0</v>
      </c>
      <c r="L133" s="95">
        <v>0</v>
      </c>
      <c r="M133" s="32">
        <v>-4.74</v>
      </c>
      <c r="N133" s="148">
        <f>IF(Table_BDD[[#This Row],[Position]]="","",ROW()-3)</f>
        <v>130</v>
      </c>
      <c r="O133" s="32">
        <f>SUM($L$4:M133)</f>
        <v>-191.04999999999995</v>
      </c>
      <c r="P133" s="32">
        <f>Table_BDD[[#This Row],[Equité avant trade]]+Table_BDD[[#This Row],[Profit]]+Table_BDD[[#This Row],[Echange]]</f>
        <v>808.95</v>
      </c>
      <c r="Q133" s="52">
        <f>INT(Table_BDD[[#This Row],[Horodatage cloture]])</f>
        <v>43875</v>
      </c>
      <c r="R133" s="34">
        <f>WEEKNUM(Table_BDD[[#This Row],[Horodatage cloture]],2)</f>
        <v>7</v>
      </c>
      <c r="S133" s="61">
        <f>WEEKDAY(Table_BDD[[#This Row],[Horodatage cloture]])</f>
        <v>6</v>
      </c>
      <c r="T133" s="63">
        <f>HOUR(Table_BDD[[#This Row],[Horodatage cloture]])</f>
        <v>16</v>
      </c>
      <c r="U133" s="68">
        <f>IF(Table_BDD[[#This Row],[Position]]="","",IF(Table_BDD[[#This Row],[Valeur début de journée unique]]&lt;&gt;0,1,0))</f>
        <v>0</v>
      </c>
      <c r="V133" s="68" t="str">
        <f>IF(Table_BDD[[#This Row],[Nb de séance de trading]]=1,COUNTIF(Table_BDD[Date],Table_BDD[[#This Row],[Date]]),"")</f>
        <v/>
      </c>
      <c r="W133" s="33">
        <f>IF(Table_BDD[[#This Row],[Position]]="","",IF(Table_BDD[[#This Row],[Type]]="buy",ROUND(Table_BDD[[#This Row],[Lvl Entrée]]-Table_BDD[[#This Row],[S / L]],1),ROUND(Table_BDD[[#This Row],[S / L]]-Table_BDD[[#This Row],[Lvl Entrée]],1)))</f>
        <v>10</v>
      </c>
      <c r="X133" s="33">
        <f>IF(Table_BDD[[#This Row],[Position]]="","",IF(Table_BDD[[#This Row],[T / P]]=0,200,IF(Table_BDD[[#This Row],[Type]]="buy",ROUND(Table_BDD[[#This Row],[T / P]]-Table_BDD[[#This Row],[Lvl Entrée]],1),ROUND(Table_BDD[[#This Row],[Lvl Entrée]]-Table_BDD[[#This Row],[T / P]],1))))</f>
        <v>160.4</v>
      </c>
      <c r="Y133" s="34">
        <f>IF(Table_BDD[[#This Row],[Position]]="","",IF(Table_BDD[[#This Row],[Ecart du SL]]&gt;0,ROUND(ABS(Table_BDD[[#This Row],[Ecart du TP]])/ABS(Table_BDD[[#This Row],[Ecart du SL]]),1),ROUND(ABS(Table_BDD[[#This Row],[Ecart du TP]])/10,1)))</f>
        <v>16</v>
      </c>
      <c r="Z133" s="34">
        <f>IF(Table_BDD[[#This Row],[Position]]="","",IF(Table_BDD[[#This Row],[Ecart du SL]]&lt;0,IF(AND(Table_BDD[[#This Row],[Profit]]&gt;0,Table_BDD[[#This Row],[Type]]="sell"),ROUND((Table_BDD[[#This Row],[Lvl Entrée]]-Table_BDD[[#This Row],[Lvl Sortie]])/(10),1),IF(AND(Table_BDD[[#This Row],[Profit]]&gt;0,Table_BDD[[#This Row],[Type]]="buy"),ROUND((Table_BDD[[#This Row],[Lvl Sortie]]-Table_BDD[[#This Row],[Lvl Entrée]])/(10),1),)),IF(AND(Table_BDD[[#This Row],[Profit]]&gt;0,Table_BDD[[#This Row],[Type]]="sell"),ROUND((Table_BDD[[#This Row],[Lvl Entrée]]-Table_BDD[[#This Row],[Lvl Sortie]])/(Table_BDD[[#This Row],[S / L]]-Table_BDD[[#This Row],[Lvl Entrée]]),1),IF(AND(Table_BDD[[#This Row],[Profit]]&gt;0,Table_BDD[[#This Row],[Type]]="buy"),ROUND((Table_BDD[[#This Row],[Lvl Sortie]]-Table_BDD[[#This Row],[Lvl Entrée]])/(Table_BDD[[#This Row],[Lvl Entrée]]-Table_BDD[[#This Row],[S / L]]),1),ROUND(Table_BDD[[#This Row],[Points]]/10,1)))))</f>
        <v>-1</v>
      </c>
      <c r="AA133" s="32">
        <f>IF(Table_BDD[[#This Row],[Position]]="",AA132,Table_BDD[[#This Row],[Equité après trade]]-Table_BDD[[#This Row],[Profit]]-Table_BDD[[#This Row],[Echange]])</f>
        <v>813.69</v>
      </c>
      <c r="AB133" s="149">
        <f>$B$1+SUM($L$4:M133)</f>
        <v>808.95</v>
      </c>
      <c r="AC133" s="150">
        <f>IF(Table_BDD[[#This Row],[Position]]="","",_xlfn.MINIFS(Table_BDD[Horodatage ouverture],Table_BDD[Date],Table_BDD[Date]))</f>
        <v>43875.390983796293</v>
      </c>
      <c r="AD133" s="149">
        <f>VLOOKUP(_xlfn.MINIFS(Table_BDD[Horodatage ouverture],Table_BDD[Date],Table_BDD[Date]),Table_BDD[[Horodatage ouverture]:[Heure derniere valeur]],AA$2)</f>
        <v>867.85</v>
      </c>
      <c r="AE133" s="149">
        <f>IF(VLOOKUP(_xlfn.MINIFS(Table_BDD[Horodatage ouverture],Table_BDD[Date],Table_BDD[Date]),Table_BDD[[Horodatage ouverture]:[Heure derniere valeur]],AA$2)=Table_BDD[[#This Row],[Equité avant trade]],VLOOKUP(_xlfn.MINIFS(Table_BDD[Horodatage ouverture],Table_BDD[Date],Table_BDD[Date]),Table_BDD[[Horodatage ouverture]:[Heure derniere valeur]],AA$2),0)</f>
        <v>0</v>
      </c>
      <c r="AF133" s="150">
        <f>IF(Table_BDD[[#This Row],[Position]]="","",_xlfn.MAXIFS(Table_BDD[Horodatage ouverture],Table_BDD[Date],Table_BDD[Date]))</f>
        <v>43875.829016203701</v>
      </c>
      <c r="AG133" s="32">
        <f>VLOOKUP(_xlfn.MAXIFS(Table_BDD[Horodatage cloture],Table_BDD[Date],Table_BDD[Date]),Table_BDD[[Horodatage ouverture]:[Heure derniere valeur]],AB$2)</f>
        <v>775.01</v>
      </c>
      <c r="AH133" s="32">
        <f>IF(VLOOKUP(_xlfn.MAXIFS(Table_BDD[Horodatage cloture],Table_BDD[Date],Table_BDD[Date]),Table_BDD[[Horodatage ouverture]:[Heure derniere valeur]],AB$2)=Table_BDD[[#This Row],[Equité après trade]],VLOOKUP(_xlfn.MAXIFS(Table_BDD[Horodatage cloture],Table_BDD[Date],Table_BDD[Date]),Table_BDD[[Horodatage ouverture]:[Heure derniere valeur]],AB$2),0)</f>
        <v>0</v>
      </c>
      <c r="AI133" s="32" t="e">
        <f>IF(Table_BDD[[#This Row],[Valeur fin de journée unique]]=0,#N/A,Table_BDD[[#This Row],[Valeur fin de journée unique]])</f>
        <v>#N/A</v>
      </c>
      <c r="AJ133" s="35">
        <f>IF(Table_BDD[[#This Row],[Position]]="","",(Table_BDD[[#This Row],[Equité après trade]]-Table_BDD[[#This Row],[Equité avant trade]])/Table_BDD[[#This Row],[Equité avant trade]])</f>
        <v>-5.8253143088891459E-3</v>
      </c>
      <c r="AK133" s="35" t="str">
        <f>IFERROR(((INDEX(Table_BDD[[Trade n°]:[Valeur fin de journée unique]],Table_BDD[[#This Row],[Nb de trade du jour]]+Table_BDD[[#This Row],[Trade n°]]-1,21))-Table_BDD[[#This Row],[Valeur début de journée unique]])/Table_BDD[[#This Row],[Valeur début de journée unique]],"")</f>
        <v/>
      </c>
      <c r="AL133" s="32">
        <f>IF(Table_BDD[[#This Row],[Position]]="","",MAX(Table_BDD[[#This Row],[Cumul équité]],AL132))</f>
        <v>1052.8399999999999</v>
      </c>
      <c r="AM133" s="32">
        <f>IF(Table_BDD[[#This Row],[Position]]="","",MIN(Table_BDD[[#This Row],[Cumul équité]],AL132))</f>
        <v>808.95</v>
      </c>
      <c r="AN133" s="97">
        <f>IF(Table_BDD[[#This Row],[Sommet Drawdown]]&gt;AL132,"",Table_BDD[[#This Row],[Creux Drawdown]]/Table_BDD[[#This Row],[Sommet Drawdown]]-1)</f>
        <v>-0.23164963337259215</v>
      </c>
      <c r="AO133" s="36">
        <f>IF(Table_BDD[[#This Row],[Position]]="","",IF(Table_BDD[[#This Row],[Type]]="buy",ROUND(Table_BDD[[#This Row],[Lvl Sortie]]-Table_BDD[[#This Row],[Lvl Entrée]],1),ROUND(Table_BDD[[#This Row],[Lvl Entrée]]-Table_BDD[[#This Row],[Lvl Sortie]],1)))</f>
        <v>-10.3</v>
      </c>
      <c r="AP133" s="36" t="str">
        <f>IF(Table_BDD[[#This Row],[Points]]&gt;0,Table_BDD[[#This Row],[Points]],"")</f>
        <v/>
      </c>
      <c r="AQ133" s="36">
        <f>IF(Table_BDD[[#This Row],[Points]]&lt;0,Table_BDD[[#This Row],[Points]],"")</f>
        <v>-10.3</v>
      </c>
      <c r="AR133" s="36">
        <f>SUM($AO$4:AO133)</f>
        <v>-415.50000000000011</v>
      </c>
      <c r="AS133" s="68">
        <f>IF(Table_BDD[[#This Row],[Position]]="","",IF(Table_BDD[[#This Row],[Conformité]]="Conforme",1,0))</f>
        <v>0</v>
      </c>
      <c r="AT133" s="68">
        <f>IF(Table_BDD[[#This Row],[Position]]="","",IF(Table_BDD[[#This Row],[Conformité]]="Non conforme",1,0))</f>
        <v>1</v>
      </c>
      <c r="AU133" s="37" t="s">
        <v>17</v>
      </c>
      <c r="AV133" s="37"/>
      <c r="AW133" s="37"/>
      <c r="AX133" s="37">
        <v>0</v>
      </c>
      <c r="AY133" s="37">
        <v>0</v>
      </c>
      <c r="AZ133" s="37">
        <v>0</v>
      </c>
      <c r="BA133" s="40" t="str">
        <f>IF(Table_BDD[[#This Row],[Position]]="","Sans objet",IF(AND(Table_BDD[[#This Row],[Type]]="sell",Table_BDD[[#This Row],[S / L]]&lt;Table_BDD[[#This Row],[Lvl Entrée]],Table_BDD[[#This Row],[Lvl Sortie]]&lt;=Table_BDD[[#This Row],[S / L]]+2,Table_BDD[[#This Row],[Lvl Sortie]]&lt;Table_BDD[[#This Row],[Lvl Entrée]]-19),"Oui",IF(AND(Table_BDD[[#This Row],[Type]]="buy",Table_BDD[[#This Row],[S / L]]&gt;Table_BDD[[#This Row],[Lvl Entrée]],Table_BDD[[#This Row],[Lvl Sortie]]&gt;=Table_BDD[[#This Row],[S / L]]-2,Table_BDD[[#This Row],[S / L]]&gt;Table_BDD[[#This Row],[Lvl Entrée]]+19),"Oui","Non")))</f>
        <v>Non</v>
      </c>
      <c r="BB133" s="40" t="str">
        <f>IF(Table_BDD[[#This Row],[Position]]="","Sans objet",IF(AND(Table_BDD[[#This Row],[Type]]="sell",Table_BDD[[#This Row],[S / L]]&lt;Table_BDD[[#This Row],[Lvl Entrée]],Table_BDD[[#This Row],[Points]]&gt;=-1),"Oui",IF(AND(Table_BDD[[#This Row],[Type]]="sell",Table_BDD[[#This Row],[S / L]]&gt;Table_BDD[[#This Row],[Lvl Entrée]]),"Non",IF(AND(Table_BDD[[#This Row],[Type]]="buy",Table_BDD[[#This Row],[S / L]]&lt;Table_BDD[[#This Row],[Lvl Entrée]]),"Non",IF(AND(Table_BDD[[#This Row],[Type]]="buy",Table_BDD[[#This Row],[S / L]]&gt;Table_BDD[[#This Row],[Lvl Entrée]],Table_BDD[[#This Row],[Points]]&gt;=-1),"Oui")))))</f>
        <v>Non</v>
      </c>
      <c r="BC133" s="40" t="str">
        <f>IF(Table_BDD[[#This Row],[Position]]="","Sans objet",IF(Table_BDD[[#This Row],[T / P]]="","Non",IF(AND(Table_BDD[[#This Row],[Type]]="sell",Table_BDD[[#This Row],[Lvl Sortie]]&lt;=Table_BDD[[#This Row],[T / P]]),"Oui",IF(AND(Table_BDD[[#This Row],[Type]]="buy",Table_BDD[[#This Row],[Lvl Sortie]]&gt;=Table_BDD[[#This Row],[T / P]]),"Oui","Non"))))</f>
        <v>Non</v>
      </c>
      <c r="BD133" s="91">
        <f t="array" ref="BD133">IFERROR(INDEX(downloadFile[#All],MATCH(Table_BDD[[#This Row],[Date]],downloadFile[[#All],[Column1]],0),2),BD132)</f>
        <v>1.0842000000000001</v>
      </c>
      <c r="BE133" s="89">
        <f>IF(Table_BDD[[#This Row],[Position]]="","",IF(Table_BDD[[#This Row],[Symbole]]="UsaInd",(Table_BDD[[#This Row],[Volume]]*Table_BDD[[#This Row],[Lvl Entrée]])/(Table_BDD[[#This Row],[Equité avant trade]]*Table_BDD[[#This Row],[EUR/USD]]),IF(Table_BDD[[#This Row],[Symbole]]="Ger30",(Table_BDD[[#This Row],[Volume]]*Table_BDD[[#This Row],[Lvl Entrée]])/Table_BDD[[#This Row],[Equité avant trade]],)))</f>
        <v>16.679755155316922</v>
      </c>
      <c r="BF133" s="38">
        <f>IF(Table_BDD[[#This Row],[Position]]="","",IF(Table_BDD[[#This Row],[Conformité]]="Non conforme",0,(MROUND(3*((Table_BDD[[#This Row],[Conviction]]+Table_BDD[[#This Row],[Timing]]+Table_BDD[[#This Row],[Sortie]])+1)-2,1))))</f>
        <v>0</v>
      </c>
      <c r="BG133" s="38" t="str">
        <f>IF(Table_BDD[[#This Row],[Position]]="","",IF(Table_BDD[[#This Row],[Points]]&lt;-5,"--",IF(AND(Table_BDD[[#This Row],[Points]]&gt;=-5,Table_BDD[[#This Row],[Points]]&lt;-1.5),"-",IF(AND(Table_BDD[[#This Row],[Points]]&gt;=-1.5,Table_BDD[[#This Row],[Points]]&lt;1.5),"0",IF(AND(Table_BDD[[#This Row],[Points]]&gt;=1.5,Table_BDD[[#This Row],[Points]]&lt;=70),"+",IF(Table_BDD[[#This Row],[Points]]&gt;70,"++"))))))</f>
        <v>--</v>
      </c>
      <c r="BH133" s="37" t="str">
        <f>IF(Table_BDD[[#This Row],[Position]]="","",IF(Table_BDD[[#This Row],[Points]]&gt;0,"Gagnant",IF(Table_BDD[[#This Row],[Points]]=0,"Flat","Perdant")))</f>
        <v>Perdant</v>
      </c>
      <c r="BI133" s="40">
        <f>IF(Table_BDD[[#This Row],[Position]]="","",IF(Table_BDD[[#This Row],[Résultat]]="Gagnant",1,0))</f>
        <v>0</v>
      </c>
      <c r="BJ133" s="40">
        <f>IF(Table_BDD[[#This Row],[Position]]="","",IF(Table_BDD[[#This Row],[Résultat]]="Perdant",1,0))</f>
        <v>1</v>
      </c>
      <c r="BK133" s="40"/>
      <c r="BL133" s="145">
        <f>IF(Table_BDD[[#This Row],[T / P]]="","",Table_BDD[[#This Row],[T / P]])</f>
        <v>29590.25</v>
      </c>
      <c r="BM133" s="147"/>
      <c r="BN133" s="147"/>
      <c r="BO133" s="147"/>
      <c r="BP133" s="147"/>
      <c r="BQ133" s="127"/>
    </row>
    <row r="134" spans="1:69" x14ac:dyDescent="0.2">
      <c r="A134" s="93">
        <v>43875.705821759257</v>
      </c>
      <c r="B134" s="94">
        <v>259991186</v>
      </c>
      <c r="C134" s="37" t="s">
        <v>8</v>
      </c>
      <c r="D134" s="37" t="s">
        <v>9</v>
      </c>
      <c r="E134" s="37">
        <v>0.4</v>
      </c>
      <c r="F134" s="95">
        <v>29424.67</v>
      </c>
      <c r="G134" s="95">
        <v>29414.67</v>
      </c>
      <c r="H134" s="95"/>
      <c r="I134" s="93">
        <v>43875.708703703705</v>
      </c>
      <c r="J134" s="95">
        <v>29414.59</v>
      </c>
      <c r="K134" s="95">
        <v>0</v>
      </c>
      <c r="L134" s="95">
        <v>0</v>
      </c>
      <c r="M134" s="32">
        <v>-3.72</v>
      </c>
      <c r="N134" s="148">
        <f>IF(Table_BDD[[#This Row],[Position]]="","",ROW()-3)</f>
        <v>131</v>
      </c>
      <c r="O134" s="32">
        <f>SUM($L$4:M134)</f>
        <v>-194.76999999999995</v>
      </c>
      <c r="P134" s="32">
        <f>Table_BDD[[#This Row],[Equité avant trade]]+Table_BDD[[#This Row],[Profit]]+Table_BDD[[#This Row],[Echange]]</f>
        <v>805.23</v>
      </c>
      <c r="Q134" s="52">
        <f>INT(Table_BDD[[#This Row],[Horodatage cloture]])</f>
        <v>43875</v>
      </c>
      <c r="R134" s="34">
        <f>WEEKNUM(Table_BDD[[#This Row],[Horodatage cloture]],2)</f>
        <v>7</v>
      </c>
      <c r="S134" s="61">
        <f>WEEKDAY(Table_BDD[[#This Row],[Horodatage cloture]])</f>
        <v>6</v>
      </c>
      <c r="T134" s="63">
        <f>HOUR(Table_BDD[[#This Row],[Horodatage cloture]])</f>
        <v>17</v>
      </c>
      <c r="U134" s="68">
        <f>IF(Table_BDD[[#This Row],[Position]]="","",IF(Table_BDD[[#This Row],[Valeur début de journée unique]]&lt;&gt;0,1,0))</f>
        <v>0</v>
      </c>
      <c r="V134" s="68" t="str">
        <f>IF(Table_BDD[[#This Row],[Nb de séance de trading]]=1,COUNTIF(Table_BDD[Date],Table_BDD[[#This Row],[Date]]),"")</f>
        <v/>
      </c>
      <c r="W134" s="33">
        <f>IF(Table_BDD[[#This Row],[Position]]="","",IF(Table_BDD[[#This Row],[Type]]="buy",ROUND(Table_BDD[[#This Row],[Lvl Entrée]]-Table_BDD[[#This Row],[S / L]],1),ROUND(Table_BDD[[#This Row],[S / L]]-Table_BDD[[#This Row],[Lvl Entrée]],1)))</f>
        <v>10</v>
      </c>
      <c r="X134" s="33">
        <f>IF(Table_BDD[[#This Row],[Position]]="","",IF(Table_BDD[[#This Row],[T / P]]=0,200,IF(Table_BDD[[#This Row],[Type]]="buy",ROUND(Table_BDD[[#This Row],[T / P]]-Table_BDD[[#This Row],[Lvl Entrée]],1),ROUND(Table_BDD[[#This Row],[Lvl Entrée]]-Table_BDD[[#This Row],[T / P]],1))))</f>
        <v>200</v>
      </c>
      <c r="Y134" s="34">
        <f>IF(Table_BDD[[#This Row],[Position]]="","",IF(Table_BDD[[#This Row],[Ecart du SL]]&gt;0,ROUND(ABS(Table_BDD[[#This Row],[Ecart du TP]])/ABS(Table_BDD[[#This Row],[Ecart du SL]]),1),ROUND(ABS(Table_BDD[[#This Row],[Ecart du TP]])/10,1)))</f>
        <v>20</v>
      </c>
      <c r="Z134" s="34">
        <f>IF(Table_BDD[[#This Row],[Position]]="","",IF(Table_BDD[[#This Row],[Ecart du SL]]&lt;0,IF(AND(Table_BDD[[#This Row],[Profit]]&gt;0,Table_BDD[[#This Row],[Type]]="sell"),ROUND((Table_BDD[[#This Row],[Lvl Entrée]]-Table_BDD[[#This Row],[Lvl Sortie]])/(10),1),IF(AND(Table_BDD[[#This Row],[Profit]]&gt;0,Table_BDD[[#This Row],[Type]]="buy"),ROUND((Table_BDD[[#This Row],[Lvl Sortie]]-Table_BDD[[#This Row],[Lvl Entrée]])/(10),1),)),IF(AND(Table_BDD[[#This Row],[Profit]]&gt;0,Table_BDD[[#This Row],[Type]]="sell"),ROUND((Table_BDD[[#This Row],[Lvl Entrée]]-Table_BDD[[#This Row],[Lvl Sortie]])/(Table_BDD[[#This Row],[S / L]]-Table_BDD[[#This Row],[Lvl Entrée]]),1),IF(AND(Table_BDD[[#This Row],[Profit]]&gt;0,Table_BDD[[#This Row],[Type]]="buy"),ROUND((Table_BDD[[#This Row],[Lvl Sortie]]-Table_BDD[[#This Row],[Lvl Entrée]])/(Table_BDD[[#This Row],[Lvl Entrée]]-Table_BDD[[#This Row],[S / L]]),1),ROUND(Table_BDD[[#This Row],[Points]]/10,1)))))</f>
        <v>-1</v>
      </c>
      <c r="AA134" s="32">
        <f>IF(Table_BDD[[#This Row],[Position]]="",AA133,Table_BDD[[#This Row],[Equité après trade]]-Table_BDD[[#This Row],[Profit]]-Table_BDD[[#This Row],[Echange]])</f>
        <v>808.95</v>
      </c>
      <c r="AB134" s="149">
        <f>$B$1+SUM($L$4:M134)</f>
        <v>805.23</v>
      </c>
      <c r="AC134" s="150">
        <f>IF(Table_BDD[[#This Row],[Position]]="","",_xlfn.MINIFS(Table_BDD[Horodatage ouverture],Table_BDD[Date],Table_BDD[Date]))</f>
        <v>43875.390983796293</v>
      </c>
      <c r="AD134" s="149">
        <f>VLOOKUP(_xlfn.MINIFS(Table_BDD[Horodatage ouverture],Table_BDD[Date],Table_BDD[Date]),Table_BDD[[Horodatage ouverture]:[Heure derniere valeur]],AA$2)</f>
        <v>867.85</v>
      </c>
      <c r="AE134" s="149">
        <f>IF(VLOOKUP(_xlfn.MINIFS(Table_BDD[Horodatage ouverture],Table_BDD[Date],Table_BDD[Date]),Table_BDD[[Horodatage ouverture]:[Heure derniere valeur]],AA$2)=Table_BDD[[#This Row],[Equité avant trade]],VLOOKUP(_xlfn.MINIFS(Table_BDD[Horodatage ouverture],Table_BDD[Date],Table_BDD[Date]),Table_BDD[[Horodatage ouverture]:[Heure derniere valeur]],AA$2),0)</f>
        <v>0</v>
      </c>
      <c r="AF134" s="150">
        <f>IF(Table_BDD[[#This Row],[Position]]="","",_xlfn.MAXIFS(Table_BDD[Horodatage ouverture],Table_BDD[Date],Table_BDD[Date]))</f>
        <v>43875.829016203701</v>
      </c>
      <c r="AG134" s="32">
        <f>VLOOKUP(_xlfn.MAXIFS(Table_BDD[Horodatage cloture],Table_BDD[Date],Table_BDD[Date]),Table_BDD[[Horodatage ouverture]:[Heure derniere valeur]],AB$2)</f>
        <v>775.01</v>
      </c>
      <c r="AH134" s="32">
        <f>IF(VLOOKUP(_xlfn.MAXIFS(Table_BDD[Horodatage cloture],Table_BDD[Date],Table_BDD[Date]),Table_BDD[[Horodatage ouverture]:[Heure derniere valeur]],AB$2)=Table_BDD[[#This Row],[Equité après trade]],VLOOKUP(_xlfn.MAXIFS(Table_BDD[Horodatage cloture],Table_BDD[Date],Table_BDD[Date]),Table_BDD[[Horodatage ouverture]:[Heure derniere valeur]],AB$2),0)</f>
        <v>0</v>
      </c>
      <c r="AI134" s="32" t="e">
        <f>IF(Table_BDD[[#This Row],[Valeur fin de journée unique]]=0,#N/A,Table_BDD[[#This Row],[Valeur fin de journée unique]])</f>
        <v>#N/A</v>
      </c>
      <c r="AJ134" s="35">
        <f>IF(Table_BDD[[#This Row],[Position]]="","",(Table_BDD[[#This Row],[Equité après trade]]-Table_BDD[[#This Row],[Equité avant trade]])/Table_BDD[[#This Row],[Equité avant trade]])</f>
        <v>-4.5985536806972338E-3</v>
      </c>
      <c r="AK134" s="35" t="str">
        <f>IFERROR(((INDEX(Table_BDD[[Trade n°]:[Valeur fin de journée unique]],Table_BDD[[#This Row],[Nb de trade du jour]]+Table_BDD[[#This Row],[Trade n°]]-1,21))-Table_BDD[[#This Row],[Valeur début de journée unique]])/Table_BDD[[#This Row],[Valeur début de journée unique]],"")</f>
        <v/>
      </c>
      <c r="AL134" s="32">
        <f>IF(Table_BDD[[#This Row],[Position]]="","",MAX(Table_BDD[[#This Row],[Cumul équité]],AL133))</f>
        <v>1052.8399999999999</v>
      </c>
      <c r="AM134" s="32">
        <f>IF(Table_BDD[[#This Row],[Position]]="","",MIN(Table_BDD[[#This Row],[Cumul équité]],AL133))</f>
        <v>805.23</v>
      </c>
      <c r="AN134" s="97">
        <f>IF(Table_BDD[[#This Row],[Sommet Drawdown]]&gt;AL133,"",Table_BDD[[#This Row],[Creux Drawdown]]/Table_BDD[[#This Row],[Sommet Drawdown]]-1)</f>
        <v>-0.2351829337791117</v>
      </c>
      <c r="AO134" s="36">
        <f>IF(Table_BDD[[#This Row],[Position]]="","",IF(Table_BDD[[#This Row],[Type]]="buy",ROUND(Table_BDD[[#This Row],[Lvl Sortie]]-Table_BDD[[#This Row],[Lvl Entrée]],1),ROUND(Table_BDD[[#This Row],[Lvl Entrée]]-Table_BDD[[#This Row],[Lvl Sortie]],1)))</f>
        <v>-10.1</v>
      </c>
      <c r="AP134" s="36" t="str">
        <f>IF(Table_BDD[[#This Row],[Points]]&gt;0,Table_BDD[[#This Row],[Points]],"")</f>
        <v/>
      </c>
      <c r="AQ134" s="36">
        <f>IF(Table_BDD[[#This Row],[Points]]&lt;0,Table_BDD[[#This Row],[Points]],"")</f>
        <v>-10.1</v>
      </c>
      <c r="AR134" s="36">
        <f>SUM($AO$4:AO134)</f>
        <v>-425.60000000000014</v>
      </c>
      <c r="AS134" s="68">
        <f>IF(Table_BDD[[#This Row],[Position]]="","",IF(Table_BDD[[#This Row],[Conformité]]="Conforme",1,0))</f>
        <v>0</v>
      </c>
      <c r="AT134" s="68">
        <f>IF(Table_BDD[[#This Row],[Position]]="","",IF(Table_BDD[[#This Row],[Conformité]]="Non conforme",1,0))</f>
        <v>1</v>
      </c>
      <c r="AU134" s="37" t="s">
        <v>17</v>
      </c>
      <c r="AV134" s="37"/>
      <c r="AW134" s="37"/>
      <c r="AX134" s="37">
        <v>0</v>
      </c>
      <c r="AY134" s="37">
        <v>0</v>
      </c>
      <c r="AZ134" s="37">
        <v>0</v>
      </c>
      <c r="BA134" s="40" t="str">
        <f>IF(Table_BDD[[#This Row],[Position]]="","Sans objet",IF(AND(Table_BDD[[#This Row],[Type]]="sell",Table_BDD[[#This Row],[S / L]]&lt;Table_BDD[[#This Row],[Lvl Entrée]],Table_BDD[[#This Row],[Lvl Sortie]]&lt;=Table_BDD[[#This Row],[S / L]]+2,Table_BDD[[#This Row],[Lvl Sortie]]&lt;Table_BDD[[#This Row],[Lvl Entrée]]-19),"Oui",IF(AND(Table_BDD[[#This Row],[Type]]="buy",Table_BDD[[#This Row],[S / L]]&gt;Table_BDD[[#This Row],[Lvl Entrée]],Table_BDD[[#This Row],[Lvl Sortie]]&gt;=Table_BDD[[#This Row],[S / L]]-2,Table_BDD[[#This Row],[S / L]]&gt;Table_BDD[[#This Row],[Lvl Entrée]]+19),"Oui","Non")))</f>
        <v>Non</v>
      </c>
      <c r="BB134" s="40" t="str">
        <f>IF(Table_BDD[[#This Row],[Position]]="","Sans objet",IF(AND(Table_BDD[[#This Row],[Type]]="sell",Table_BDD[[#This Row],[S / L]]&lt;Table_BDD[[#This Row],[Lvl Entrée]],Table_BDD[[#This Row],[Points]]&gt;=-1),"Oui",IF(AND(Table_BDD[[#This Row],[Type]]="sell",Table_BDD[[#This Row],[S / L]]&gt;Table_BDD[[#This Row],[Lvl Entrée]]),"Non",IF(AND(Table_BDD[[#This Row],[Type]]="buy",Table_BDD[[#This Row],[S / L]]&lt;Table_BDD[[#This Row],[Lvl Entrée]]),"Non",IF(AND(Table_BDD[[#This Row],[Type]]="buy",Table_BDD[[#This Row],[S / L]]&gt;Table_BDD[[#This Row],[Lvl Entrée]],Table_BDD[[#This Row],[Points]]&gt;=-1),"Oui")))))</f>
        <v>Non</v>
      </c>
      <c r="BC134" s="40" t="str">
        <f>IF(Table_BDD[[#This Row],[Position]]="","Sans objet",IF(Table_BDD[[#This Row],[T / P]]="","Non",IF(AND(Table_BDD[[#This Row],[Type]]="sell",Table_BDD[[#This Row],[Lvl Sortie]]&lt;=Table_BDD[[#This Row],[T / P]]),"Oui",IF(AND(Table_BDD[[#This Row],[Type]]="buy",Table_BDD[[#This Row],[Lvl Sortie]]&gt;=Table_BDD[[#This Row],[T / P]]),"Oui","Non"))))</f>
        <v>Non</v>
      </c>
      <c r="BD134" s="91">
        <f t="array" ref="BD134">IFERROR(INDEX(downloadFile[#All],MATCH(Table_BDD[[#This Row],[Date]],downloadFile[[#All],[Column1]],0),2),BD133)</f>
        <v>1.0842000000000001</v>
      </c>
      <c r="BE134" s="89">
        <f>IF(Table_BDD[[#This Row],[Position]]="","",IF(Table_BDD[[#This Row],[Symbole]]="UsaInd",(Table_BDD[[#This Row],[Volume]]*Table_BDD[[#This Row],[Lvl Entrée]])/(Table_BDD[[#This Row],[Equité avant trade]]*Table_BDD[[#This Row],[EUR/USD]]),IF(Table_BDD[[#This Row],[Symbole]]="Ger30",(Table_BDD[[#This Row],[Volume]]*Table_BDD[[#This Row],[Lvl Entrée]])/Table_BDD[[#This Row],[Equité avant trade]],)))</f>
        <v>13.419629014584904</v>
      </c>
      <c r="BF134" s="38">
        <f>IF(Table_BDD[[#This Row],[Position]]="","",IF(Table_BDD[[#This Row],[Conformité]]="Non conforme",0,(MROUND(3*((Table_BDD[[#This Row],[Conviction]]+Table_BDD[[#This Row],[Timing]]+Table_BDD[[#This Row],[Sortie]])+1)-2,1))))</f>
        <v>0</v>
      </c>
      <c r="BG134" s="38" t="str">
        <f>IF(Table_BDD[[#This Row],[Position]]="","",IF(Table_BDD[[#This Row],[Points]]&lt;-5,"--",IF(AND(Table_BDD[[#This Row],[Points]]&gt;=-5,Table_BDD[[#This Row],[Points]]&lt;-1.5),"-",IF(AND(Table_BDD[[#This Row],[Points]]&gt;=-1.5,Table_BDD[[#This Row],[Points]]&lt;1.5),"0",IF(AND(Table_BDD[[#This Row],[Points]]&gt;=1.5,Table_BDD[[#This Row],[Points]]&lt;=70),"+",IF(Table_BDD[[#This Row],[Points]]&gt;70,"++"))))))</f>
        <v>--</v>
      </c>
      <c r="BH134" s="37" t="str">
        <f>IF(Table_BDD[[#This Row],[Position]]="","",IF(Table_BDD[[#This Row],[Points]]&gt;0,"Gagnant",IF(Table_BDD[[#This Row],[Points]]=0,"Flat","Perdant")))</f>
        <v>Perdant</v>
      </c>
      <c r="BI134" s="40">
        <f>IF(Table_BDD[[#This Row],[Position]]="","",IF(Table_BDD[[#This Row],[Résultat]]="Gagnant",1,0))</f>
        <v>0</v>
      </c>
      <c r="BJ134" s="40">
        <f>IF(Table_BDD[[#This Row],[Position]]="","",IF(Table_BDD[[#This Row],[Résultat]]="Perdant",1,0))</f>
        <v>1</v>
      </c>
      <c r="BK134" s="40"/>
      <c r="BL134" s="145" t="str">
        <f>IF(Table_BDD[[#This Row],[T / P]]="","",Table_BDD[[#This Row],[T / P]])</f>
        <v/>
      </c>
      <c r="BM134" s="147"/>
      <c r="BN134" s="147"/>
      <c r="BO134" s="147"/>
      <c r="BP134" s="147"/>
      <c r="BQ134" s="127"/>
    </row>
    <row r="135" spans="1:69" x14ac:dyDescent="0.2">
      <c r="A135" s="93">
        <v>43875.708831018521</v>
      </c>
      <c r="B135" s="94">
        <v>259992349</v>
      </c>
      <c r="C135" s="37" t="s">
        <v>8</v>
      </c>
      <c r="D135" s="37" t="s">
        <v>10</v>
      </c>
      <c r="E135" s="37">
        <v>0.4</v>
      </c>
      <c r="F135" s="95">
        <v>29413.55</v>
      </c>
      <c r="G135" s="95">
        <v>29423.55</v>
      </c>
      <c r="H135" s="95"/>
      <c r="I135" s="93">
        <v>43875.712951388887</v>
      </c>
      <c r="J135" s="95">
        <v>29403.8</v>
      </c>
      <c r="K135" s="95">
        <v>0</v>
      </c>
      <c r="L135" s="95">
        <v>0</v>
      </c>
      <c r="M135" s="32">
        <v>3.6</v>
      </c>
      <c r="N135" s="148">
        <f>IF(Table_BDD[[#This Row],[Position]]="","",ROW()-3)</f>
        <v>132</v>
      </c>
      <c r="O135" s="32">
        <f>SUM($L$4:M135)</f>
        <v>-191.16999999999996</v>
      </c>
      <c r="P135" s="32">
        <f>Table_BDD[[#This Row],[Equité avant trade]]+Table_BDD[[#This Row],[Profit]]+Table_BDD[[#This Row],[Echange]]</f>
        <v>808.83</v>
      </c>
      <c r="Q135" s="52">
        <f>INT(Table_BDD[[#This Row],[Horodatage cloture]])</f>
        <v>43875</v>
      </c>
      <c r="R135" s="34">
        <f>WEEKNUM(Table_BDD[[#This Row],[Horodatage cloture]],2)</f>
        <v>7</v>
      </c>
      <c r="S135" s="61">
        <f>WEEKDAY(Table_BDD[[#This Row],[Horodatage cloture]])</f>
        <v>6</v>
      </c>
      <c r="T135" s="63">
        <f>HOUR(Table_BDD[[#This Row],[Horodatage cloture]])</f>
        <v>17</v>
      </c>
      <c r="U135" s="68">
        <f>IF(Table_BDD[[#This Row],[Position]]="","",IF(Table_BDD[[#This Row],[Valeur début de journée unique]]&lt;&gt;0,1,0))</f>
        <v>0</v>
      </c>
      <c r="V135" s="68" t="str">
        <f>IF(Table_BDD[[#This Row],[Nb de séance de trading]]=1,COUNTIF(Table_BDD[Date],Table_BDD[[#This Row],[Date]]),"")</f>
        <v/>
      </c>
      <c r="W135" s="33">
        <f>IF(Table_BDD[[#This Row],[Position]]="","",IF(Table_BDD[[#This Row],[Type]]="buy",ROUND(Table_BDD[[#This Row],[Lvl Entrée]]-Table_BDD[[#This Row],[S / L]],1),ROUND(Table_BDD[[#This Row],[S / L]]-Table_BDD[[#This Row],[Lvl Entrée]],1)))</f>
        <v>10</v>
      </c>
      <c r="X135" s="33">
        <f>IF(Table_BDD[[#This Row],[Position]]="","",IF(Table_BDD[[#This Row],[T / P]]=0,200,IF(Table_BDD[[#This Row],[Type]]="buy",ROUND(Table_BDD[[#This Row],[T / P]]-Table_BDD[[#This Row],[Lvl Entrée]],1),ROUND(Table_BDD[[#This Row],[Lvl Entrée]]-Table_BDD[[#This Row],[T / P]],1))))</f>
        <v>200</v>
      </c>
      <c r="Y135" s="34">
        <f>IF(Table_BDD[[#This Row],[Position]]="","",IF(Table_BDD[[#This Row],[Ecart du SL]]&gt;0,ROUND(ABS(Table_BDD[[#This Row],[Ecart du TP]])/ABS(Table_BDD[[#This Row],[Ecart du SL]]),1),ROUND(ABS(Table_BDD[[#This Row],[Ecart du TP]])/10,1)))</f>
        <v>20</v>
      </c>
      <c r="Z135" s="34">
        <f>IF(Table_BDD[[#This Row],[Position]]="","",IF(Table_BDD[[#This Row],[Ecart du SL]]&lt;0,IF(AND(Table_BDD[[#This Row],[Profit]]&gt;0,Table_BDD[[#This Row],[Type]]="sell"),ROUND((Table_BDD[[#This Row],[Lvl Entrée]]-Table_BDD[[#This Row],[Lvl Sortie]])/(10),1),IF(AND(Table_BDD[[#This Row],[Profit]]&gt;0,Table_BDD[[#This Row],[Type]]="buy"),ROUND((Table_BDD[[#This Row],[Lvl Sortie]]-Table_BDD[[#This Row],[Lvl Entrée]])/(10),1),)),IF(AND(Table_BDD[[#This Row],[Profit]]&gt;0,Table_BDD[[#This Row],[Type]]="sell"),ROUND((Table_BDD[[#This Row],[Lvl Entrée]]-Table_BDD[[#This Row],[Lvl Sortie]])/(Table_BDD[[#This Row],[S / L]]-Table_BDD[[#This Row],[Lvl Entrée]]),1),IF(AND(Table_BDD[[#This Row],[Profit]]&gt;0,Table_BDD[[#This Row],[Type]]="buy"),ROUND((Table_BDD[[#This Row],[Lvl Sortie]]-Table_BDD[[#This Row],[Lvl Entrée]])/(Table_BDD[[#This Row],[Lvl Entrée]]-Table_BDD[[#This Row],[S / L]]),1),ROUND(Table_BDD[[#This Row],[Points]]/10,1)))))</f>
        <v>1</v>
      </c>
      <c r="AA135" s="32">
        <f>IF(Table_BDD[[#This Row],[Position]]="",AA134,Table_BDD[[#This Row],[Equité après trade]]-Table_BDD[[#This Row],[Profit]]-Table_BDD[[#This Row],[Echange]])</f>
        <v>805.23</v>
      </c>
      <c r="AB135" s="149">
        <f>$B$1+SUM($L$4:M135)</f>
        <v>808.83</v>
      </c>
      <c r="AC135" s="150">
        <f>IF(Table_BDD[[#This Row],[Position]]="","",_xlfn.MINIFS(Table_BDD[Horodatage ouverture],Table_BDD[Date],Table_BDD[Date]))</f>
        <v>43875.390983796293</v>
      </c>
      <c r="AD135" s="149">
        <f>VLOOKUP(_xlfn.MINIFS(Table_BDD[Horodatage ouverture],Table_BDD[Date],Table_BDD[Date]),Table_BDD[[Horodatage ouverture]:[Heure derniere valeur]],AA$2)</f>
        <v>867.85</v>
      </c>
      <c r="AE135" s="149">
        <f>IF(VLOOKUP(_xlfn.MINIFS(Table_BDD[Horodatage ouverture],Table_BDD[Date],Table_BDD[Date]),Table_BDD[[Horodatage ouverture]:[Heure derniere valeur]],AA$2)=Table_BDD[[#This Row],[Equité avant trade]],VLOOKUP(_xlfn.MINIFS(Table_BDD[Horodatage ouverture],Table_BDD[Date],Table_BDD[Date]),Table_BDD[[Horodatage ouverture]:[Heure derniere valeur]],AA$2),0)</f>
        <v>0</v>
      </c>
      <c r="AF135" s="150">
        <f>IF(Table_BDD[[#This Row],[Position]]="","",_xlfn.MAXIFS(Table_BDD[Horodatage ouverture],Table_BDD[Date],Table_BDD[Date]))</f>
        <v>43875.829016203701</v>
      </c>
      <c r="AG135" s="32">
        <f>VLOOKUP(_xlfn.MAXIFS(Table_BDD[Horodatage cloture],Table_BDD[Date],Table_BDD[Date]),Table_BDD[[Horodatage ouverture]:[Heure derniere valeur]],AB$2)</f>
        <v>775.01</v>
      </c>
      <c r="AH135" s="32">
        <f>IF(VLOOKUP(_xlfn.MAXIFS(Table_BDD[Horodatage cloture],Table_BDD[Date],Table_BDD[Date]),Table_BDD[[Horodatage ouverture]:[Heure derniere valeur]],AB$2)=Table_BDD[[#This Row],[Equité après trade]],VLOOKUP(_xlfn.MAXIFS(Table_BDD[Horodatage cloture],Table_BDD[Date],Table_BDD[Date]),Table_BDD[[Horodatage ouverture]:[Heure derniere valeur]],AB$2),0)</f>
        <v>0</v>
      </c>
      <c r="AI135" s="32" t="e">
        <f>IF(Table_BDD[[#This Row],[Valeur fin de journée unique]]=0,#N/A,Table_BDD[[#This Row],[Valeur fin de journée unique]])</f>
        <v>#N/A</v>
      </c>
      <c r="AJ135" s="35">
        <f>IF(Table_BDD[[#This Row],[Position]]="","",(Table_BDD[[#This Row],[Equité après trade]]-Table_BDD[[#This Row],[Equité avant trade]])/Table_BDD[[#This Row],[Equité avant trade]])</f>
        <v>4.470772325919331E-3</v>
      </c>
      <c r="AK135" s="35" t="str">
        <f>IFERROR(((INDEX(Table_BDD[[Trade n°]:[Valeur fin de journée unique]],Table_BDD[[#This Row],[Nb de trade du jour]]+Table_BDD[[#This Row],[Trade n°]]-1,21))-Table_BDD[[#This Row],[Valeur début de journée unique]])/Table_BDD[[#This Row],[Valeur début de journée unique]],"")</f>
        <v/>
      </c>
      <c r="AL135" s="32">
        <f>IF(Table_BDD[[#This Row],[Position]]="","",MAX(Table_BDD[[#This Row],[Cumul équité]],AL134))</f>
        <v>1052.8399999999999</v>
      </c>
      <c r="AM135" s="32">
        <f>IF(Table_BDD[[#This Row],[Position]]="","",MIN(Table_BDD[[#This Row],[Cumul équité]],AL134))</f>
        <v>808.83</v>
      </c>
      <c r="AN135" s="97">
        <f>IF(Table_BDD[[#This Row],[Sommet Drawdown]]&gt;AL134,"",Table_BDD[[#This Row],[Creux Drawdown]]/Table_BDD[[#This Row],[Sommet Drawdown]]-1)</f>
        <v>-0.23176361080506047</v>
      </c>
      <c r="AO135" s="36">
        <f>IF(Table_BDD[[#This Row],[Position]]="","",IF(Table_BDD[[#This Row],[Type]]="buy",ROUND(Table_BDD[[#This Row],[Lvl Sortie]]-Table_BDD[[#This Row],[Lvl Entrée]],1),ROUND(Table_BDD[[#This Row],[Lvl Entrée]]-Table_BDD[[#This Row],[Lvl Sortie]],1)))</f>
        <v>9.8000000000000007</v>
      </c>
      <c r="AP135" s="36">
        <f>IF(Table_BDD[[#This Row],[Points]]&gt;0,Table_BDD[[#This Row],[Points]],"")</f>
        <v>9.8000000000000007</v>
      </c>
      <c r="AQ135" s="36" t="str">
        <f>IF(Table_BDD[[#This Row],[Points]]&lt;0,Table_BDD[[#This Row],[Points]],"")</f>
        <v/>
      </c>
      <c r="AR135" s="36">
        <f>SUM($AO$4:AO135)</f>
        <v>-415.80000000000013</v>
      </c>
      <c r="AS135" s="68">
        <f>IF(Table_BDD[[#This Row],[Position]]="","",IF(Table_BDD[[#This Row],[Conformité]]="Conforme",1,0))</f>
        <v>0</v>
      </c>
      <c r="AT135" s="68">
        <f>IF(Table_BDD[[#This Row],[Position]]="","",IF(Table_BDD[[#This Row],[Conformité]]="Non conforme",1,0))</f>
        <v>1</v>
      </c>
      <c r="AU135" s="37" t="s">
        <v>17</v>
      </c>
      <c r="AV135" s="37"/>
      <c r="AW135" s="37"/>
      <c r="AX135" s="37">
        <v>0</v>
      </c>
      <c r="AY135" s="37">
        <v>0</v>
      </c>
      <c r="AZ135" s="37">
        <v>0</v>
      </c>
      <c r="BA135" s="40" t="str">
        <f>IF(Table_BDD[[#This Row],[Position]]="","Sans objet",IF(AND(Table_BDD[[#This Row],[Type]]="sell",Table_BDD[[#This Row],[S / L]]&lt;Table_BDD[[#This Row],[Lvl Entrée]],Table_BDD[[#This Row],[Lvl Sortie]]&lt;=Table_BDD[[#This Row],[S / L]]+2,Table_BDD[[#This Row],[Lvl Sortie]]&lt;Table_BDD[[#This Row],[Lvl Entrée]]-19),"Oui",IF(AND(Table_BDD[[#This Row],[Type]]="buy",Table_BDD[[#This Row],[S / L]]&gt;Table_BDD[[#This Row],[Lvl Entrée]],Table_BDD[[#This Row],[Lvl Sortie]]&gt;=Table_BDD[[#This Row],[S / L]]-2,Table_BDD[[#This Row],[S / L]]&gt;Table_BDD[[#This Row],[Lvl Entrée]]+19),"Oui","Non")))</f>
        <v>Non</v>
      </c>
      <c r="BB135" s="40" t="str">
        <f>IF(Table_BDD[[#This Row],[Position]]="","Sans objet",IF(AND(Table_BDD[[#This Row],[Type]]="sell",Table_BDD[[#This Row],[S / L]]&lt;Table_BDD[[#This Row],[Lvl Entrée]],Table_BDD[[#This Row],[Points]]&gt;=-1),"Oui",IF(AND(Table_BDD[[#This Row],[Type]]="sell",Table_BDD[[#This Row],[S / L]]&gt;Table_BDD[[#This Row],[Lvl Entrée]]),"Non",IF(AND(Table_BDD[[#This Row],[Type]]="buy",Table_BDD[[#This Row],[S / L]]&lt;Table_BDD[[#This Row],[Lvl Entrée]]),"Non",IF(AND(Table_BDD[[#This Row],[Type]]="buy",Table_BDD[[#This Row],[S / L]]&gt;Table_BDD[[#This Row],[Lvl Entrée]],Table_BDD[[#This Row],[Points]]&gt;=-1),"Oui")))))</f>
        <v>Non</v>
      </c>
      <c r="BC135" s="40" t="str">
        <f>IF(Table_BDD[[#This Row],[Position]]="","Sans objet",IF(Table_BDD[[#This Row],[T / P]]="","Non",IF(AND(Table_BDD[[#This Row],[Type]]="sell",Table_BDD[[#This Row],[Lvl Sortie]]&lt;=Table_BDD[[#This Row],[T / P]]),"Oui",IF(AND(Table_BDD[[#This Row],[Type]]="buy",Table_BDD[[#This Row],[Lvl Sortie]]&gt;=Table_BDD[[#This Row],[T / P]]),"Oui","Non"))))</f>
        <v>Non</v>
      </c>
      <c r="BD135" s="91">
        <f t="array" ref="BD135">IFERROR(INDEX(downloadFile[#All],MATCH(Table_BDD[[#This Row],[Date]],downloadFile[[#All],[Column1]],0),2),BD134)</f>
        <v>1.0842000000000001</v>
      </c>
      <c r="BE135" s="89">
        <f>IF(Table_BDD[[#This Row],[Position]]="","",IF(Table_BDD[[#This Row],[Symbole]]="UsaInd",(Table_BDD[[#This Row],[Volume]]*Table_BDD[[#This Row],[Lvl Entrée]])/(Table_BDD[[#This Row],[Equité avant trade]]*Table_BDD[[#This Row],[EUR/USD]]),IF(Table_BDD[[#This Row],[Symbole]]="Ger30",(Table_BDD[[#This Row],[Volume]]*Table_BDD[[#This Row],[Lvl Entrée]])/Table_BDD[[#This Row],[Equité avant trade]],)))</f>
        <v>13.47653009357065</v>
      </c>
      <c r="BF135" s="38">
        <f>IF(Table_BDD[[#This Row],[Position]]="","",IF(Table_BDD[[#This Row],[Conformité]]="Non conforme",0,(MROUND(3*((Table_BDD[[#This Row],[Conviction]]+Table_BDD[[#This Row],[Timing]]+Table_BDD[[#This Row],[Sortie]])+1)-2,1))))</f>
        <v>0</v>
      </c>
      <c r="BG135" s="38" t="str">
        <f>IF(Table_BDD[[#This Row],[Position]]="","",IF(Table_BDD[[#This Row],[Points]]&lt;-5,"--",IF(AND(Table_BDD[[#This Row],[Points]]&gt;=-5,Table_BDD[[#This Row],[Points]]&lt;-1.5),"-",IF(AND(Table_BDD[[#This Row],[Points]]&gt;=-1.5,Table_BDD[[#This Row],[Points]]&lt;1.5),"0",IF(AND(Table_BDD[[#This Row],[Points]]&gt;=1.5,Table_BDD[[#This Row],[Points]]&lt;=70),"+",IF(Table_BDD[[#This Row],[Points]]&gt;70,"++"))))))</f>
        <v>+</v>
      </c>
      <c r="BH135" s="37" t="str">
        <f>IF(Table_BDD[[#This Row],[Position]]="","",IF(Table_BDD[[#This Row],[Points]]&gt;0,"Gagnant",IF(Table_BDD[[#This Row],[Points]]=0,"Flat","Perdant")))</f>
        <v>Gagnant</v>
      </c>
      <c r="BI135" s="40">
        <f>IF(Table_BDD[[#This Row],[Position]]="","",IF(Table_BDD[[#This Row],[Résultat]]="Gagnant",1,0))</f>
        <v>1</v>
      </c>
      <c r="BJ135" s="40">
        <f>IF(Table_BDD[[#This Row],[Position]]="","",IF(Table_BDD[[#This Row],[Résultat]]="Perdant",1,0))</f>
        <v>0</v>
      </c>
      <c r="BK135" s="40"/>
      <c r="BL135" s="145" t="str">
        <f>IF(Table_BDD[[#This Row],[T / P]]="","",Table_BDD[[#This Row],[T / P]])</f>
        <v/>
      </c>
      <c r="BM135" s="147"/>
      <c r="BN135" s="147"/>
      <c r="BO135" s="147"/>
      <c r="BP135" s="147"/>
      <c r="BQ135" s="127"/>
    </row>
    <row r="136" spans="1:69" x14ac:dyDescent="0.2">
      <c r="A136" s="93">
        <v>43875.712997685187</v>
      </c>
      <c r="B136" s="94">
        <v>259992975</v>
      </c>
      <c r="C136" s="37" t="s">
        <v>8</v>
      </c>
      <c r="D136" s="37" t="s">
        <v>9</v>
      </c>
      <c r="E136" s="37">
        <v>0.45</v>
      </c>
      <c r="F136" s="95">
        <v>29403.602220000001</v>
      </c>
      <c r="G136" s="95">
        <v>29393.599999999999</v>
      </c>
      <c r="H136" s="95">
        <v>29583.599999999999</v>
      </c>
      <c r="I136" s="93">
        <v>43875.714594907404</v>
      </c>
      <c r="J136" s="95">
        <v>29393.51</v>
      </c>
      <c r="K136" s="95">
        <v>0</v>
      </c>
      <c r="L136" s="95">
        <v>0</v>
      </c>
      <c r="M136" s="32">
        <v>-4.1900000000000004</v>
      </c>
      <c r="N136" s="148">
        <f>IF(Table_BDD[[#This Row],[Position]]="","",ROW()-3)</f>
        <v>133</v>
      </c>
      <c r="O136" s="32">
        <f>SUM($L$4:M136)</f>
        <v>-195.35999999999996</v>
      </c>
      <c r="P136" s="32">
        <f>Table_BDD[[#This Row],[Equité avant trade]]+Table_BDD[[#This Row],[Profit]]+Table_BDD[[#This Row],[Echange]]</f>
        <v>804.6400000000001</v>
      </c>
      <c r="Q136" s="52">
        <f>INT(Table_BDD[[#This Row],[Horodatage cloture]])</f>
        <v>43875</v>
      </c>
      <c r="R136" s="34">
        <f>WEEKNUM(Table_BDD[[#This Row],[Horodatage cloture]],2)</f>
        <v>7</v>
      </c>
      <c r="S136" s="61">
        <f>WEEKDAY(Table_BDD[[#This Row],[Horodatage cloture]])</f>
        <v>6</v>
      </c>
      <c r="T136" s="63">
        <f>HOUR(Table_BDD[[#This Row],[Horodatage cloture]])</f>
        <v>17</v>
      </c>
      <c r="U136" s="68">
        <f>IF(Table_BDD[[#This Row],[Position]]="","",IF(Table_BDD[[#This Row],[Valeur début de journée unique]]&lt;&gt;0,1,0))</f>
        <v>0</v>
      </c>
      <c r="V136" s="68" t="str">
        <f>IF(Table_BDD[[#This Row],[Nb de séance de trading]]=1,COUNTIF(Table_BDD[Date],Table_BDD[[#This Row],[Date]]),"")</f>
        <v/>
      </c>
      <c r="W136" s="33">
        <f>IF(Table_BDD[[#This Row],[Position]]="","",IF(Table_BDD[[#This Row],[Type]]="buy",ROUND(Table_BDD[[#This Row],[Lvl Entrée]]-Table_BDD[[#This Row],[S / L]],1),ROUND(Table_BDD[[#This Row],[S / L]]-Table_BDD[[#This Row],[Lvl Entrée]],1)))</f>
        <v>10</v>
      </c>
      <c r="X136" s="33">
        <f>IF(Table_BDD[[#This Row],[Position]]="","",IF(Table_BDD[[#This Row],[T / P]]=0,200,IF(Table_BDD[[#This Row],[Type]]="buy",ROUND(Table_BDD[[#This Row],[T / P]]-Table_BDD[[#This Row],[Lvl Entrée]],1),ROUND(Table_BDD[[#This Row],[Lvl Entrée]]-Table_BDD[[#This Row],[T / P]],1))))</f>
        <v>180</v>
      </c>
      <c r="Y136" s="34">
        <f>IF(Table_BDD[[#This Row],[Position]]="","",IF(Table_BDD[[#This Row],[Ecart du SL]]&gt;0,ROUND(ABS(Table_BDD[[#This Row],[Ecart du TP]])/ABS(Table_BDD[[#This Row],[Ecart du SL]]),1),ROUND(ABS(Table_BDD[[#This Row],[Ecart du TP]])/10,1)))</f>
        <v>18</v>
      </c>
      <c r="Z136" s="34">
        <f>IF(Table_BDD[[#This Row],[Position]]="","",IF(Table_BDD[[#This Row],[Ecart du SL]]&lt;0,IF(AND(Table_BDD[[#This Row],[Profit]]&gt;0,Table_BDD[[#This Row],[Type]]="sell"),ROUND((Table_BDD[[#This Row],[Lvl Entrée]]-Table_BDD[[#This Row],[Lvl Sortie]])/(10),1),IF(AND(Table_BDD[[#This Row],[Profit]]&gt;0,Table_BDD[[#This Row],[Type]]="buy"),ROUND((Table_BDD[[#This Row],[Lvl Sortie]]-Table_BDD[[#This Row],[Lvl Entrée]])/(10),1),)),IF(AND(Table_BDD[[#This Row],[Profit]]&gt;0,Table_BDD[[#This Row],[Type]]="sell"),ROUND((Table_BDD[[#This Row],[Lvl Entrée]]-Table_BDD[[#This Row],[Lvl Sortie]])/(Table_BDD[[#This Row],[S / L]]-Table_BDD[[#This Row],[Lvl Entrée]]),1),IF(AND(Table_BDD[[#This Row],[Profit]]&gt;0,Table_BDD[[#This Row],[Type]]="buy"),ROUND((Table_BDD[[#This Row],[Lvl Sortie]]-Table_BDD[[#This Row],[Lvl Entrée]])/(Table_BDD[[#This Row],[Lvl Entrée]]-Table_BDD[[#This Row],[S / L]]),1),ROUND(Table_BDD[[#This Row],[Points]]/10,1)))))</f>
        <v>-1</v>
      </c>
      <c r="AA136" s="32">
        <f>IF(Table_BDD[[#This Row],[Position]]="",AA135,Table_BDD[[#This Row],[Equité après trade]]-Table_BDD[[#This Row],[Profit]]-Table_BDD[[#This Row],[Echange]])</f>
        <v>808.83000000000015</v>
      </c>
      <c r="AB136" s="149">
        <f>$B$1+SUM($L$4:M136)</f>
        <v>804.6400000000001</v>
      </c>
      <c r="AC136" s="150">
        <f>IF(Table_BDD[[#This Row],[Position]]="","",_xlfn.MINIFS(Table_BDD[Horodatage ouverture],Table_BDD[Date],Table_BDD[Date]))</f>
        <v>43875.390983796293</v>
      </c>
      <c r="AD136" s="149">
        <f>VLOOKUP(_xlfn.MINIFS(Table_BDD[Horodatage ouverture],Table_BDD[Date],Table_BDD[Date]),Table_BDD[[Horodatage ouverture]:[Heure derniere valeur]],AA$2)</f>
        <v>867.85</v>
      </c>
      <c r="AE136" s="149">
        <f>IF(VLOOKUP(_xlfn.MINIFS(Table_BDD[Horodatage ouverture],Table_BDD[Date],Table_BDD[Date]),Table_BDD[[Horodatage ouverture]:[Heure derniere valeur]],AA$2)=Table_BDD[[#This Row],[Equité avant trade]],VLOOKUP(_xlfn.MINIFS(Table_BDD[Horodatage ouverture],Table_BDD[Date],Table_BDD[Date]),Table_BDD[[Horodatage ouverture]:[Heure derniere valeur]],AA$2),0)</f>
        <v>0</v>
      </c>
      <c r="AF136" s="150">
        <f>IF(Table_BDD[[#This Row],[Position]]="","",_xlfn.MAXIFS(Table_BDD[Horodatage ouverture],Table_BDD[Date],Table_BDD[Date]))</f>
        <v>43875.829016203701</v>
      </c>
      <c r="AG136" s="32">
        <f>VLOOKUP(_xlfn.MAXIFS(Table_BDD[Horodatage cloture],Table_BDD[Date],Table_BDD[Date]),Table_BDD[[Horodatage ouverture]:[Heure derniere valeur]],AB$2)</f>
        <v>775.01</v>
      </c>
      <c r="AH136" s="32">
        <f>IF(VLOOKUP(_xlfn.MAXIFS(Table_BDD[Horodatage cloture],Table_BDD[Date],Table_BDD[Date]),Table_BDD[[Horodatage ouverture]:[Heure derniere valeur]],AB$2)=Table_BDD[[#This Row],[Equité après trade]],VLOOKUP(_xlfn.MAXIFS(Table_BDD[Horodatage cloture],Table_BDD[Date],Table_BDD[Date]),Table_BDD[[Horodatage ouverture]:[Heure derniere valeur]],AB$2),0)</f>
        <v>0</v>
      </c>
      <c r="AI136" s="32" t="e">
        <f>IF(Table_BDD[[#This Row],[Valeur fin de journée unique]]=0,#N/A,Table_BDD[[#This Row],[Valeur fin de journée unique]])</f>
        <v>#N/A</v>
      </c>
      <c r="AJ136" s="35">
        <f>IF(Table_BDD[[#This Row],[Position]]="","",(Table_BDD[[#This Row],[Equité après trade]]-Table_BDD[[#This Row],[Equité avant trade]])/Table_BDD[[#This Row],[Equité avant trade]])</f>
        <v>-5.1803221937861523E-3</v>
      </c>
      <c r="AK136" s="35" t="str">
        <f>IFERROR(((INDEX(Table_BDD[[Trade n°]:[Valeur fin de journée unique]],Table_BDD[[#This Row],[Nb de trade du jour]]+Table_BDD[[#This Row],[Trade n°]]-1,21))-Table_BDD[[#This Row],[Valeur début de journée unique]])/Table_BDD[[#This Row],[Valeur début de journée unique]],"")</f>
        <v/>
      </c>
      <c r="AL136" s="32">
        <f>IF(Table_BDD[[#This Row],[Position]]="","",MAX(Table_BDD[[#This Row],[Cumul équité]],AL135))</f>
        <v>1052.8399999999999</v>
      </c>
      <c r="AM136" s="32">
        <f>IF(Table_BDD[[#This Row],[Position]]="","",MIN(Table_BDD[[#This Row],[Cumul équité]],AL135))</f>
        <v>804.6400000000001</v>
      </c>
      <c r="AN136" s="97">
        <f>IF(Table_BDD[[#This Row],[Sommet Drawdown]]&gt;AL135,"",Table_BDD[[#This Row],[Creux Drawdown]]/Table_BDD[[#This Row],[Sommet Drawdown]]-1)</f>
        <v>-0.2357433228220811</v>
      </c>
      <c r="AO136" s="36">
        <f>IF(Table_BDD[[#This Row],[Position]]="","",IF(Table_BDD[[#This Row],[Type]]="buy",ROUND(Table_BDD[[#This Row],[Lvl Sortie]]-Table_BDD[[#This Row],[Lvl Entrée]],1),ROUND(Table_BDD[[#This Row],[Lvl Entrée]]-Table_BDD[[#This Row],[Lvl Sortie]],1)))</f>
        <v>-10.1</v>
      </c>
      <c r="AP136" s="36" t="str">
        <f>IF(Table_BDD[[#This Row],[Points]]&gt;0,Table_BDD[[#This Row],[Points]],"")</f>
        <v/>
      </c>
      <c r="AQ136" s="36">
        <f>IF(Table_BDD[[#This Row],[Points]]&lt;0,Table_BDD[[#This Row],[Points]],"")</f>
        <v>-10.1</v>
      </c>
      <c r="AR136" s="36">
        <f>SUM($AO$4:AO136)</f>
        <v>-425.90000000000015</v>
      </c>
      <c r="AS136" s="68">
        <f>IF(Table_BDD[[#This Row],[Position]]="","",IF(Table_BDD[[#This Row],[Conformité]]="Conforme",1,0))</f>
        <v>0</v>
      </c>
      <c r="AT136" s="68">
        <f>IF(Table_BDD[[#This Row],[Position]]="","",IF(Table_BDD[[#This Row],[Conformité]]="Non conforme",1,0))</f>
        <v>1</v>
      </c>
      <c r="AU136" s="37" t="s">
        <v>17</v>
      </c>
      <c r="AV136" s="37"/>
      <c r="AW136" s="37"/>
      <c r="AX136" s="37">
        <v>0</v>
      </c>
      <c r="AY136" s="37">
        <v>0</v>
      </c>
      <c r="AZ136" s="37">
        <v>0</v>
      </c>
      <c r="BA136" s="40" t="str">
        <f>IF(Table_BDD[[#This Row],[Position]]="","Sans objet",IF(AND(Table_BDD[[#This Row],[Type]]="sell",Table_BDD[[#This Row],[S / L]]&lt;Table_BDD[[#This Row],[Lvl Entrée]],Table_BDD[[#This Row],[Lvl Sortie]]&lt;=Table_BDD[[#This Row],[S / L]]+2,Table_BDD[[#This Row],[Lvl Sortie]]&lt;Table_BDD[[#This Row],[Lvl Entrée]]-19),"Oui",IF(AND(Table_BDD[[#This Row],[Type]]="buy",Table_BDD[[#This Row],[S / L]]&gt;Table_BDD[[#This Row],[Lvl Entrée]],Table_BDD[[#This Row],[Lvl Sortie]]&gt;=Table_BDD[[#This Row],[S / L]]-2,Table_BDD[[#This Row],[S / L]]&gt;Table_BDD[[#This Row],[Lvl Entrée]]+19),"Oui","Non")))</f>
        <v>Non</v>
      </c>
      <c r="BB136" s="40" t="str">
        <f>IF(Table_BDD[[#This Row],[Position]]="","Sans objet",IF(AND(Table_BDD[[#This Row],[Type]]="sell",Table_BDD[[#This Row],[S / L]]&lt;Table_BDD[[#This Row],[Lvl Entrée]],Table_BDD[[#This Row],[Points]]&gt;=-1),"Oui",IF(AND(Table_BDD[[#This Row],[Type]]="sell",Table_BDD[[#This Row],[S / L]]&gt;Table_BDD[[#This Row],[Lvl Entrée]]),"Non",IF(AND(Table_BDD[[#This Row],[Type]]="buy",Table_BDD[[#This Row],[S / L]]&lt;Table_BDD[[#This Row],[Lvl Entrée]]),"Non",IF(AND(Table_BDD[[#This Row],[Type]]="buy",Table_BDD[[#This Row],[S / L]]&gt;Table_BDD[[#This Row],[Lvl Entrée]],Table_BDD[[#This Row],[Points]]&gt;=-1),"Oui")))))</f>
        <v>Non</v>
      </c>
      <c r="BC136" s="40" t="str">
        <f>IF(Table_BDD[[#This Row],[Position]]="","Sans objet",IF(Table_BDD[[#This Row],[T / P]]="","Non",IF(AND(Table_BDD[[#This Row],[Type]]="sell",Table_BDD[[#This Row],[Lvl Sortie]]&lt;=Table_BDD[[#This Row],[T / P]]),"Oui",IF(AND(Table_BDD[[#This Row],[Type]]="buy",Table_BDD[[#This Row],[Lvl Sortie]]&gt;=Table_BDD[[#This Row],[T / P]]),"Oui","Non"))))</f>
        <v>Non</v>
      </c>
      <c r="BD136" s="91">
        <f t="array" ref="BD136">IFERROR(INDEX(downloadFile[#All],MATCH(Table_BDD[[#This Row],[Date]],downloadFile[[#All],[Column1]],0),2),BD135)</f>
        <v>1.0842000000000001</v>
      </c>
      <c r="BE136" s="89">
        <f>IF(Table_BDD[[#This Row],[Position]]="","",IF(Table_BDD[[#This Row],[Symbole]]="UsaInd",(Table_BDD[[#This Row],[Volume]]*Table_BDD[[#This Row],[Lvl Entrée]])/(Table_BDD[[#This Row],[Equité avant trade]]*Table_BDD[[#This Row],[EUR/USD]]),IF(Table_BDD[[#This Row],[Symbole]]="Ger30",(Table_BDD[[#This Row],[Volume]]*Table_BDD[[#This Row],[Lvl Entrée]])/Table_BDD[[#This Row],[Equité avant trade]],)))</f>
        <v>15.088511512263082</v>
      </c>
      <c r="BF136" s="38">
        <f>IF(Table_BDD[[#This Row],[Position]]="","",IF(Table_BDD[[#This Row],[Conformité]]="Non conforme",0,(MROUND(3*((Table_BDD[[#This Row],[Conviction]]+Table_BDD[[#This Row],[Timing]]+Table_BDD[[#This Row],[Sortie]])+1)-2,1))))</f>
        <v>0</v>
      </c>
      <c r="BG136" s="38" t="str">
        <f>IF(Table_BDD[[#This Row],[Position]]="","",IF(Table_BDD[[#This Row],[Points]]&lt;-5,"--",IF(AND(Table_BDD[[#This Row],[Points]]&gt;=-5,Table_BDD[[#This Row],[Points]]&lt;-1.5),"-",IF(AND(Table_BDD[[#This Row],[Points]]&gt;=-1.5,Table_BDD[[#This Row],[Points]]&lt;1.5),"0",IF(AND(Table_BDD[[#This Row],[Points]]&gt;=1.5,Table_BDD[[#This Row],[Points]]&lt;=70),"+",IF(Table_BDD[[#This Row],[Points]]&gt;70,"++"))))))</f>
        <v>--</v>
      </c>
      <c r="BH136" s="37" t="str">
        <f>IF(Table_BDD[[#This Row],[Position]]="","",IF(Table_BDD[[#This Row],[Points]]&gt;0,"Gagnant",IF(Table_BDD[[#This Row],[Points]]=0,"Flat","Perdant")))</f>
        <v>Perdant</v>
      </c>
      <c r="BI136" s="40">
        <f>IF(Table_BDD[[#This Row],[Position]]="","",IF(Table_BDD[[#This Row],[Résultat]]="Gagnant",1,0))</f>
        <v>0</v>
      </c>
      <c r="BJ136" s="40">
        <f>IF(Table_BDD[[#This Row],[Position]]="","",IF(Table_BDD[[#This Row],[Résultat]]="Perdant",1,0))</f>
        <v>1</v>
      </c>
      <c r="BK136" s="40"/>
      <c r="BL136" s="145">
        <f>IF(Table_BDD[[#This Row],[T / P]]="","",Table_BDD[[#This Row],[T / P]])</f>
        <v>29583.599999999999</v>
      </c>
      <c r="BM136" s="147"/>
      <c r="BN136" s="147"/>
      <c r="BO136" s="147"/>
      <c r="BP136" s="147"/>
      <c r="BQ136" s="127"/>
    </row>
    <row r="137" spans="1:69" x14ac:dyDescent="0.2">
      <c r="A137" s="93">
        <v>43875.71607638889</v>
      </c>
      <c r="B137" s="94">
        <v>259993875</v>
      </c>
      <c r="C137" s="37" t="s">
        <v>8</v>
      </c>
      <c r="D137" s="37" t="s">
        <v>9</v>
      </c>
      <c r="E137" s="37">
        <v>0.45</v>
      </c>
      <c r="F137" s="95">
        <v>29397.71</v>
      </c>
      <c r="G137" s="95">
        <v>29387.71</v>
      </c>
      <c r="H137" s="95">
        <v>29597.71</v>
      </c>
      <c r="I137" s="93">
        <v>43875.742766203701</v>
      </c>
      <c r="J137" s="95">
        <v>29404.71</v>
      </c>
      <c r="K137" s="95">
        <v>0</v>
      </c>
      <c r="L137" s="95">
        <v>0</v>
      </c>
      <c r="M137" s="32">
        <v>2.91</v>
      </c>
      <c r="N137" s="148">
        <f>IF(Table_BDD[[#This Row],[Position]]="","",ROW()-3)</f>
        <v>134</v>
      </c>
      <c r="O137" s="32">
        <f>SUM($L$4:M137)</f>
        <v>-192.44999999999996</v>
      </c>
      <c r="P137" s="32">
        <f>Table_BDD[[#This Row],[Equité avant trade]]+Table_BDD[[#This Row],[Profit]]+Table_BDD[[#This Row],[Echange]]</f>
        <v>807.55000000000007</v>
      </c>
      <c r="Q137" s="52">
        <f>INT(Table_BDD[[#This Row],[Horodatage cloture]])</f>
        <v>43875</v>
      </c>
      <c r="R137" s="34">
        <f>WEEKNUM(Table_BDD[[#This Row],[Horodatage cloture]],2)</f>
        <v>7</v>
      </c>
      <c r="S137" s="61">
        <f>WEEKDAY(Table_BDD[[#This Row],[Horodatage cloture]])</f>
        <v>6</v>
      </c>
      <c r="T137" s="63">
        <f>HOUR(Table_BDD[[#This Row],[Horodatage cloture]])</f>
        <v>17</v>
      </c>
      <c r="U137" s="68">
        <f>IF(Table_BDD[[#This Row],[Position]]="","",IF(Table_BDD[[#This Row],[Valeur début de journée unique]]&lt;&gt;0,1,0))</f>
        <v>0</v>
      </c>
      <c r="V137" s="68" t="str">
        <f>IF(Table_BDD[[#This Row],[Nb de séance de trading]]=1,COUNTIF(Table_BDD[Date],Table_BDD[[#This Row],[Date]]),"")</f>
        <v/>
      </c>
      <c r="W137" s="33">
        <f>IF(Table_BDD[[#This Row],[Position]]="","",IF(Table_BDD[[#This Row],[Type]]="buy",ROUND(Table_BDD[[#This Row],[Lvl Entrée]]-Table_BDD[[#This Row],[S / L]],1),ROUND(Table_BDD[[#This Row],[S / L]]-Table_BDD[[#This Row],[Lvl Entrée]],1)))</f>
        <v>10</v>
      </c>
      <c r="X137" s="33">
        <f>IF(Table_BDD[[#This Row],[Position]]="","",IF(Table_BDD[[#This Row],[T / P]]=0,200,IF(Table_BDD[[#This Row],[Type]]="buy",ROUND(Table_BDD[[#This Row],[T / P]]-Table_BDD[[#This Row],[Lvl Entrée]],1),ROUND(Table_BDD[[#This Row],[Lvl Entrée]]-Table_BDD[[#This Row],[T / P]],1))))</f>
        <v>200</v>
      </c>
      <c r="Y137" s="34">
        <f>IF(Table_BDD[[#This Row],[Position]]="","",IF(Table_BDD[[#This Row],[Ecart du SL]]&gt;0,ROUND(ABS(Table_BDD[[#This Row],[Ecart du TP]])/ABS(Table_BDD[[#This Row],[Ecart du SL]]),1),ROUND(ABS(Table_BDD[[#This Row],[Ecart du TP]])/10,1)))</f>
        <v>20</v>
      </c>
      <c r="Z137" s="34">
        <f>IF(Table_BDD[[#This Row],[Position]]="","",IF(Table_BDD[[#This Row],[Ecart du SL]]&lt;0,IF(AND(Table_BDD[[#This Row],[Profit]]&gt;0,Table_BDD[[#This Row],[Type]]="sell"),ROUND((Table_BDD[[#This Row],[Lvl Entrée]]-Table_BDD[[#This Row],[Lvl Sortie]])/(10),1),IF(AND(Table_BDD[[#This Row],[Profit]]&gt;0,Table_BDD[[#This Row],[Type]]="buy"),ROUND((Table_BDD[[#This Row],[Lvl Sortie]]-Table_BDD[[#This Row],[Lvl Entrée]])/(10),1),)),IF(AND(Table_BDD[[#This Row],[Profit]]&gt;0,Table_BDD[[#This Row],[Type]]="sell"),ROUND((Table_BDD[[#This Row],[Lvl Entrée]]-Table_BDD[[#This Row],[Lvl Sortie]])/(Table_BDD[[#This Row],[S / L]]-Table_BDD[[#This Row],[Lvl Entrée]]),1),IF(AND(Table_BDD[[#This Row],[Profit]]&gt;0,Table_BDD[[#This Row],[Type]]="buy"),ROUND((Table_BDD[[#This Row],[Lvl Sortie]]-Table_BDD[[#This Row],[Lvl Entrée]])/(Table_BDD[[#This Row],[Lvl Entrée]]-Table_BDD[[#This Row],[S / L]]),1),ROUND(Table_BDD[[#This Row],[Points]]/10,1)))))</f>
        <v>0.7</v>
      </c>
      <c r="AA137" s="32">
        <f>IF(Table_BDD[[#This Row],[Position]]="",AA136,Table_BDD[[#This Row],[Equité après trade]]-Table_BDD[[#This Row],[Profit]]-Table_BDD[[#This Row],[Echange]])</f>
        <v>804.6400000000001</v>
      </c>
      <c r="AB137" s="149">
        <f>$B$1+SUM($L$4:M137)</f>
        <v>807.55000000000007</v>
      </c>
      <c r="AC137" s="150">
        <f>IF(Table_BDD[[#This Row],[Position]]="","",_xlfn.MINIFS(Table_BDD[Horodatage ouverture],Table_BDD[Date],Table_BDD[Date]))</f>
        <v>43875.390983796293</v>
      </c>
      <c r="AD137" s="149">
        <f>VLOOKUP(_xlfn.MINIFS(Table_BDD[Horodatage ouverture],Table_BDD[Date],Table_BDD[Date]),Table_BDD[[Horodatage ouverture]:[Heure derniere valeur]],AA$2)</f>
        <v>867.85</v>
      </c>
      <c r="AE137" s="149">
        <f>IF(VLOOKUP(_xlfn.MINIFS(Table_BDD[Horodatage ouverture],Table_BDD[Date],Table_BDD[Date]),Table_BDD[[Horodatage ouverture]:[Heure derniere valeur]],AA$2)=Table_BDD[[#This Row],[Equité avant trade]],VLOOKUP(_xlfn.MINIFS(Table_BDD[Horodatage ouverture],Table_BDD[Date],Table_BDD[Date]),Table_BDD[[Horodatage ouverture]:[Heure derniere valeur]],AA$2),0)</f>
        <v>0</v>
      </c>
      <c r="AF137" s="150">
        <f>IF(Table_BDD[[#This Row],[Position]]="","",_xlfn.MAXIFS(Table_BDD[Horodatage ouverture],Table_BDD[Date],Table_BDD[Date]))</f>
        <v>43875.829016203701</v>
      </c>
      <c r="AG137" s="32">
        <f>VLOOKUP(_xlfn.MAXIFS(Table_BDD[Horodatage cloture],Table_BDD[Date],Table_BDD[Date]),Table_BDD[[Horodatage ouverture]:[Heure derniere valeur]],AB$2)</f>
        <v>775.01</v>
      </c>
      <c r="AH137" s="32">
        <f>IF(VLOOKUP(_xlfn.MAXIFS(Table_BDD[Horodatage cloture],Table_BDD[Date],Table_BDD[Date]),Table_BDD[[Horodatage ouverture]:[Heure derniere valeur]],AB$2)=Table_BDD[[#This Row],[Equité après trade]],VLOOKUP(_xlfn.MAXIFS(Table_BDD[Horodatage cloture],Table_BDD[Date],Table_BDD[Date]),Table_BDD[[Horodatage ouverture]:[Heure derniere valeur]],AB$2),0)</f>
        <v>0</v>
      </c>
      <c r="AI137" s="32" t="e">
        <f>IF(Table_BDD[[#This Row],[Valeur fin de journée unique]]=0,#N/A,Table_BDD[[#This Row],[Valeur fin de journée unique]])</f>
        <v>#N/A</v>
      </c>
      <c r="AJ137" s="35">
        <f>IF(Table_BDD[[#This Row],[Position]]="","",(Table_BDD[[#This Row],[Equité après trade]]-Table_BDD[[#This Row],[Equité avant trade]])/Table_BDD[[#This Row],[Equité avant trade]])</f>
        <v>3.6165241598726983E-3</v>
      </c>
      <c r="AK137" s="35" t="str">
        <f>IFERROR(((INDEX(Table_BDD[[Trade n°]:[Valeur fin de journée unique]],Table_BDD[[#This Row],[Nb de trade du jour]]+Table_BDD[[#This Row],[Trade n°]]-1,21))-Table_BDD[[#This Row],[Valeur début de journée unique]])/Table_BDD[[#This Row],[Valeur début de journée unique]],"")</f>
        <v/>
      </c>
      <c r="AL137" s="32">
        <f>IF(Table_BDD[[#This Row],[Position]]="","",MAX(Table_BDD[[#This Row],[Cumul équité]],AL136))</f>
        <v>1052.8399999999999</v>
      </c>
      <c r="AM137" s="32">
        <f>IF(Table_BDD[[#This Row],[Position]]="","",MIN(Table_BDD[[#This Row],[Cumul équité]],AL136))</f>
        <v>807.55000000000007</v>
      </c>
      <c r="AN137" s="97">
        <f>IF(Table_BDD[[#This Row],[Sommet Drawdown]]&gt;AL136,"",Table_BDD[[#This Row],[Creux Drawdown]]/Table_BDD[[#This Row],[Sommet Drawdown]]-1)</f>
        <v>-0.23297937008472314</v>
      </c>
      <c r="AO137" s="36">
        <f>IF(Table_BDD[[#This Row],[Position]]="","",IF(Table_BDD[[#This Row],[Type]]="buy",ROUND(Table_BDD[[#This Row],[Lvl Sortie]]-Table_BDD[[#This Row],[Lvl Entrée]],1),ROUND(Table_BDD[[#This Row],[Lvl Entrée]]-Table_BDD[[#This Row],[Lvl Sortie]],1)))</f>
        <v>7</v>
      </c>
      <c r="AP137" s="36">
        <f>IF(Table_BDD[[#This Row],[Points]]&gt;0,Table_BDD[[#This Row],[Points]],"")</f>
        <v>7</v>
      </c>
      <c r="AQ137" s="36" t="str">
        <f>IF(Table_BDD[[#This Row],[Points]]&lt;0,Table_BDD[[#This Row],[Points]],"")</f>
        <v/>
      </c>
      <c r="AR137" s="36">
        <f>SUM($AO$4:AO137)</f>
        <v>-418.90000000000015</v>
      </c>
      <c r="AS137" s="68">
        <f>IF(Table_BDD[[#This Row],[Position]]="","",IF(Table_BDD[[#This Row],[Conformité]]="Conforme",1,0))</f>
        <v>0</v>
      </c>
      <c r="AT137" s="68">
        <f>IF(Table_BDD[[#This Row],[Position]]="","",IF(Table_BDD[[#This Row],[Conformité]]="Non conforme",1,0))</f>
        <v>1</v>
      </c>
      <c r="AU137" s="37" t="s">
        <v>17</v>
      </c>
      <c r="AV137" s="37"/>
      <c r="AW137" s="37"/>
      <c r="AX137" s="37">
        <v>0</v>
      </c>
      <c r="AY137" s="37">
        <v>0</v>
      </c>
      <c r="AZ137" s="37">
        <v>0</v>
      </c>
      <c r="BA137" s="40" t="str">
        <f>IF(Table_BDD[[#This Row],[Position]]="","Sans objet",IF(AND(Table_BDD[[#This Row],[Type]]="sell",Table_BDD[[#This Row],[S / L]]&lt;Table_BDD[[#This Row],[Lvl Entrée]],Table_BDD[[#This Row],[Lvl Sortie]]&lt;=Table_BDD[[#This Row],[S / L]]+2,Table_BDD[[#This Row],[Lvl Sortie]]&lt;Table_BDD[[#This Row],[Lvl Entrée]]-19),"Oui",IF(AND(Table_BDD[[#This Row],[Type]]="buy",Table_BDD[[#This Row],[S / L]]&gt;Table_BDD[[#This Row],[Lvl Entrée]],Table_BDD[[#This Row],[Lvl Sortie]]&gt;=Table_BDD[[#This Row],[S / L]]-2,Table_BDD[[#This Row],[S / L]]&gt;Table_BDD[[#This Row],[Lvl Entrée]]+19),"Oui","Non")))</f>
        <v>Non</v>
      </c>
      <c r="BB137" s="40" t="str">
        <f>IF(Table_BDD[[#This Row],[Position]]="","Sans objet",IF(AND(Table_BDD[[#This Row],[Type]]="sell",Table_BDD[[#This Row],[S / L]]&lt;Table_BDD[[#This Row],[Lvl Entrée]],Table_BDD[[#This Row],[Points]]&gt;=-1),"Oui",IF(AND(Table_BDD[[#This Row],[Type]]="sell",Table_BDD[[#This Row],[S / L]]&gt;Table_BDD[[#This Row],[Lvl Entrée]]),"Non",IF(AND(Table_BDD[[#This Row],[Type]]="buy",Table_BDD[[#This Row],[S / L]]&lt;Table_BDD[[#This Row],[Lvl Entrée]]),"Non",IF(AND(Table_BDD[[#This Row],[Type]]="buy",Table_BDD[[#This Row],[S / L]]&gt;Table_BDD[[#This Row],[Lvl Entrée]],Table_BDD[[#This Row],[Points]]&gt;=-1),"Oui")))))</f>
        <v>Non</v>
      </c>
      <c r="BC137" s="40" t="str">
        <f>IF(Table_BDD[[#This Row],[Position]]="","Sans objet",IF(Table_BDD[[#This Row],[T / P]]="","Non",IF(AND(Table_BDD[[#This Row],[Type]]="sell",Table_BDD[[#This Row],[Lvl Sortie]]&lt;=Table_BDD[[#This Row],[T / P]]),"Oui",IF(AND(Table_BDD[[#This Row],[Type]]="buy",Table_BDD[[#This Row],[Lvl Sortie]]&gt;=Table_BDD[[#This Row],[T / P]]),"Oui","Non"))))</f>
        <v>Non</v>
      </c>
      <c r="BD137" s="91">
        <f t="array" ref="BD137">IFERROR(INDEX(downloadFile[#All],MATCH(Table_BDD[[#This Row],[Date]],downloadFile[[#All],[Column1]],0),2),BD136)</f>
        <v>1.0842000000000001</v>
      </c>
      <c r="BE137" s="89">
        <f>IF(Table_BDD[[#This Row],[Position]]="","",IF(Table_BDD[[#This Row],[Symbole]]="UsaInd",(Table_BDD[[#This Row],[Volume]]*Table_BDD[[#This Row],[Lvl Entrée]])/(Table_BDD[[#This Row],[Equité avant trade]]*Table_BDD[[#This Row],[EUR/USD]]),IF(Table_BDD[[#This Row],[Symbole]]="Ger30",(Table_BDD[[#This Row],[Volume]]*Table_BDD[[#This Row],[Lvl Entrée]])/Table_BDD[[#This Row],[Equité avant trade]],)))</f>
        <v>15.164042535034483</v>
      </c>
      <c r="BF137" s="38">
        <f>IF(Table_BDD[[#This Row],[Position]]="","",IF(Table_BDD[[#This Row],[Conformité]]="Non conforme",0,(MROUND(3*((Table_BDD[[#This Row],[Conviction]]+Table_BDD[[#This Row],[Timing]]+Table_BDD[[#This Row],[Sortie]])+1)-2,1))))</f>
        <v>0</v>
      </c>
      <c r="BG137" s="38" t="str">
        <f>IF(Table_BDD[[#This Row],[Position]]="","",IF(Table_BDD[[#This Row],[Points]]&lt;-5,"--",IF(AND(Table_BDD[[#This Row],[Points]]&gt;=-5,Table_BDD[[#This Row],[Points]]&lt;-1.5),"-",IF(AND(Table_BDD[[#This Row],[Points]]&gt;=-1.5,Table_BDD[[#This Row],[Points]]&lt;1.5),"0",IF(AND(Table_BDD[[#This Row],[Points]]&gt;=1.5,Table_BDD[[#This Row],[Points]]&lt;=70),"+",IF(Table_BDD[[#This Row],[Points]]&gt;70,"++"))))))</f>
        <v>+</v>
      </c>
      <c r="BH137" s="37" t="str">
        <f>IF(Table_BDD[[#This Row],[Position]]="","",IF(Table_BDD[[#This Row],[Points]]&gt;0,"Gagnant",IF(Table_BDD[[#This Row],[Points]]=0,"Flat","Perdant")))</f>
        <v>Gagnant</v>
      </c>
      <c r="BI137" s="40">
        <f>IF(Table_BDD[[#This Row],[Position]]="","",IF(Table_BDD[[#This Row],[Résultat]]="Gagnant",1,0))</f>
        <v>1</v>
      </c>
      <c r="BJ137" s="40">
        <f>IF(Table_BDD[[#This Row],[Position]]="","",IF(Table_BDD[[#This Row],[Résultat]]="Perdant",1,0))</f>
        <v>0</v>
      </c>
      <c r="BK137" s="40"/>
      <c r="BL137" s="145">
        <f>IF(Table_BDD[[#This Row],[T / P]]="","",Table_BDD[[#This Row],[T / P]])</f>
        <v>29597.71</v>
      </c>
      <c r="BM137" s="147"/>
      <c r="BN137" s="147"/>
      <c r="BO137" s="147"/>
      <c r="BP137" s="147"/>
      <c r="BQ137" s="127"/>
    </row>
    <row r="138" spans="1:69" x14ac:dyDescent="0.2">
      <c r="A138" s="93">
        <v>43875.744652777779</v>
      </c>
      <c r="B138" s="94">
        <v>259996431</v>
      </c>
      <c r="C138" s="37" t="s">
        <v>8</v>
      </c>
      <c r="D138" s="37" t="s">
        <v>9</v>
      </c>
      <c r="E138" s="37">
        <v>0.45</v>
      </c>
      <c r="F138" s="95">
        <v>29398.82</v>
      </c>
      <c r="G138" s="95">
        <v>29392.21</v>
      </c>
      <c r="H138" s="95"/>
      <c r="I138" s="93">
        <v>43875.745405092595</v>
      </c>
      <c r="J138" s="95">
        <v>29391.67</v>
      </c>
      <c r="K138" s="95">
        <v>0</v>
      </c>
      <c r="L138" s="95">
        <v>0</v>
      </c>
      <c r="M138" s="32">
        <v>-2.97</v>
      </c>
      <c r="N138" s="148">
        <f>IF(Table_BDD[[#This Row],[Position]]="","",ROW()-3)</f>
        <v>135</v>
      </c>
      <c r="O138" s="32">
        <f>SUM($L$4:M138)</f>
        <v>-195.41999999999996</v>
      </c>
      <c r="P138" s="32">
        <f>Table_BDD[[#This Row],[Equité avant trade]]+Table_BDD[[#This Row],[Profit]]+Table_BDD[[#This Row],[Echange]]</f>
        <v>804.58</v>
      </c>
      <c r="Q138" s="52">
        <f>INT(Table_BDD[[#This Row],[Horodatage cloture]])</f>
        <v>43875</v>
      </c>
      <c r="R138" s="34">
        <f>WEEKNUM(Table_BDD[[#This Row],[Horodatage cloture]],2)</f>
        <v>7</v>
      </c>
      <c r="S138" s="61">
        <f>WEEKDAY(Table_BDD[[#This Row],[Horodatage cloture]])</f>
        <v>6</v>
      </c>
      <c r="T138" s="63">
        <f>HOUR(Table_BDD[[#This Row],[Horodatage cloture]])</f>
        <v>17</v>
      </c>
      <c r="U138" s="68">
        <f>IF(Table_BDD[[#This Row],[Position]]="","",IF(Table_BDD[[#This Row],[Valeur début de journée unique]]&lt;&gt;0,1,0))</f>
        <v>0</v>
      </c>
      <c r="V138" s="68" t="str">
        <f>IF(Table_BDD[[#This Row],[Nb de séance de trading]]=1,COUNTIF(Table_BDD[Date],Table_BDD[[#This Row],[Date]]),"")</f>
        <v/>
      </c>
      <c r="W138" s="33">
        <f>IF(Table_BDD[[#This Row],[Position]]="","",IF(Table_BDD[[#This Row],[Type]]="buy",ROUND(Table_BDD[[#This Row],[Lvl Entrée]]-Table_BDD[[#This Row],[S / L]],1),ROUND(Table_BDD[[#This Row],[S / L]]-Table_BDD[[#This Row],[Lvl Entrée]],1)))</f>
        <v>6.6</v>
      </c>
      <c r="X138" s="33">
        <f>IF(Table_BDD[[#This Row],[Position]]="","",IF(Table_BDD[[#This Row],[T / P]]=0,200,IF(Table_BDD[[#This Row],[Type]]="buy",ROUND(Table_BDD[[#This Row],[T / P]]-Table_BDD[[#This Row],[Lvl Entrée]],1),ROUND(Table_BDD[[#This Row],[Lvl Entrée]]-Table_BDD[[#This Row],[T / P]],1))))</f>
        <v>200</v>
      </c>
      <c r="Y138" s="34">
        <f>IF(Table_BDD[[#This Row],[Position]]="","",IF(Table_BDD[[#This Row],[Ecart du SL]]&gt;0,ROUND(ABS(Table_BDD[[#This Row],[Ecart du TP]])/ABS(Table_BDD[[#This Row],[Ecart du SL]]),1),ROUND(ABS(Table_BDD[[#This Row],[Ecart du TP]])/10,1)))</f>
        <v>30.3</v>
      </c>
      <c r="Z138" s="34">
        <f>IF(Table_BDD[[#This Row],[Position]]="","",IF(Table_BDD[[#This Row],[Ecart du SL]]&lt;0,IF(AND(Table_BDD[[#This Row],[Profit]]&gt;0,Table_BDD[[#This Row],[Type]]="sell"),ROUND((Table_BDD[[#This Row],[Lvl Entrée]]-Table_BDD[[#This Row],[Lvl Sortie]])/(10),1),IF(AND(Table_BDD[[#This Row],[Profit]]&gt;0,Table_BDD[[#This Row],[Type]]="buy"),ROUND((Table_BDD[[#This Row],[Lvl Sortie]]-Table_BDD[[#This Row],[Lvl Entrée]])/(10),1),)),IF(AND(Table_BDD[[#This Row],[Profit]]&gt;0,Table_BDD[[#This Row],[Type]]="sell"),ROUND((Table_BDD[[#This Row],[Lvl Entrée]]-Table_BDD[[#This Row],[Lvl Sortie]])/(Table_BDD[[#This Row],[S / L]]-Table_BDD[[#This Row],[Lvl Entrée]]),1),IF(AND(Table_BDD[[#This Row],[Profit]]&gt;0,Table_BDD[[#This Row],[Type]]="buy"),ROUND((Table_BDD[[#This Row],[Lvl Sortie]]-Table_BDD[[#This Row],[Lvl Entrée]])/(Table_BDD[[#This Row],[Lvl Entrée]]-Table_BDD[[#This Row],[S / L]]),1),ROUND(Table_BDD[[#This Row],[Points]]/10,1)))))</f>
        <v>-0.7</v>
      </c>
      <c r="AA138" s="32">
        <f>IF(Table_BDD[[#This Row],[Position]]="",AA137,Table_BDD[[#This Row],[Equité après trade]]-Table_BDD[[#This Row],[Profit]]-Table_BDD[[#This Row],[Echange]])</f>
        <v>807.55000000000007</v>
      </c>
      <c r="AB138" s="149">
        <f>$B$1+SUM($L$4:M138)</f>
        <v>804.58</v>
      </c>
      <c r="AC138" s="150">
        <f>IF(Table_BDD[[#This Row],[Position]]="","",_xlfn.MINIFS(Table_BDD[Horodatage ouverture],Table_BDD[Date],Table_BDD[Date]))</f>
        <v>43875.390983796293</v>
      </c>
      <c r="AD138" s="149">
        <f>VLOOKUP(_xlfn.MINIFS(Table_BDD[Horodatage ouverture],Table_BDD[Date],Table_BDD[Date]),Table_BDD[[Horodatage ouverture]:[Heure derniere valeur]],AA$2)</f>
        <v>867.85</v>
      </c>
      <c r="AE138" s="149">
        <f>IF(VLOOKUP(_xlfn.MINIFS(Table_BDD[Horodatage ouverture],Table_BDD[Date],Table_BDD[Date]),Table_BDD[[Horodatage ouverture]:[Heure derniere valeur]],AA$2)=Table_BDD[[#This Row],[Equité avant trade]],VLOOKUP(_xlfn.MINIFS(Table_BDD[Horodatage ouverture],Table_BDD[Date],Table_BDD[Date]),Table_BDD[[Horodatage ouverture]:[Heure derniere valeur]],AA$2),0)</f>
        <v>0</v>
      </c>
      <c r="AF138" s="150">
        <f>IF(Table_BDD[[#This Row],[Position]]="","",_xlfn.MAXIFS(Table_BDD[Horodatage ouverture],Table_BDD[Date],Table_BDD[Date]))</f>
        <v>43875.829016203701</v>
      </c>
      <c r="AG138" s="32">
        <f>VLOOKUP(_xlfn.MAXIFS(Table_BDD[Horodatage cloture],Table_BDD[Date],Table_BDD[Date]),Table_BDD[[Horodatage ouverture]:[Heure derniere valeur]],AB$2)</f>
        <v>775.01</v>
      </c>
      <c r="AH138" s="32">
        <f>IF(VLOOKUP(_xlfn.MAXIFS(Table_BDD[Horodatage cloture],Table_BDD[Date],Table_BDD[Date]),Table_BDD[[Horodatage ouverture]:[Heure derniere valeur]],AB$2)=Table_BDD[[#This Row],[Equité après trade]],VLOOKUP(_xlfn.MAXIFS(Table_BDD[Horodatage cloture],Table_BDD[Date],Table_BDD[Date]),Table_BDD[[Horodatage ouverture]:[Heure derniere valeur]],AB$2),0)</f>
        <v>0</v>
      </c>
      <c r="AI138" s="32" t="e">
        <f>IF(Table_BDD[[#This Row],[Valeur fin de journée unique]]=0,#N/A,Table_BDD[[#This Row],[Valeur fin de journée unique]])</f>
        <v>#N/A</v>
      </c>
      <c r="AJ138" s="35">
        <f>IF(Table_BDD[[#This Row],[Position]]="","",(Table_BDD[[#This Row],[Equité après trade]]-Table_BDD[[#This Row],[Equité avant trade]])/Table_BDD[[#This Row],[Equité avant trade]])</f>
        <v>-3.6777908488638809E-3</v>
      </c>
      <c r="AK138" s="35" t="str">
        <f>IFERROR(((INDEX(Table_BDD[[Trade n°]:[Valeur fin de journée unique]],Table_BDD[[#This Row],[Nb de trade du jour]]+Table_BDD[[#This Row],[Trade n°]]-1,21))-Table_BDD[[#This Row],[Valeur début de journée unique]])/Table_BDD[[#This Row],[Valeur début de journée unique]],"")</f>
        <v/>
      </c>
      <c r="AL138" s="32">
        <f>IF(Table_BDD[[#This Row],[Position]]="","",MAX(Table_BDD[[#This Row],[Cumul équité]],AL137))</f>
        <v>1052.8399999999999</v>
      </c>
      <c r="AM138" s="32">
        <f>IF(Table_BDD[[#This Row],[Position]]="","",MIN(Table_BDD[[#This Row],[Cumul équité]],AL137))</f>
        <v>804.58</v>
      </c>
      <c r="AN138" s="97">
        <f>IF(Table_BDD[[#This Row],[Sommet Drawdown]]&gt;AL137,"",Table_BDD[[#This Row],[Creux Drawdown]]/Table_BDD[[#This Row],[Sommet Drawdown]]-1)</f>
        <v>-0.23580031153831527</v>
      </c>
      <c r="AO138" s="36">
        <f>IF(Table_BDD[[#This Row],[Position]]="","",IF(Table_BDD[[#This Row],[Type]]="buy",ROUND(Table_BDD[[#This Row],[Lvl Sortie]]-Table_BDD[[#This Row],[Lvl Entrée]],1),ROUND(Table_BDD[[#This Row],[Lvl Entrée]]-Table_BDD[[#This Row],[Lvl Sortie]],1)))</f>
        <v>-7.2</v>
      </c>
      <c r="AP138" s="36" t="str">
        <f>IF(Table_BDD[[#This Row],[Points]]&gt;0,Table_BDD[[#This Row],[Points]],"")</f>
        <v/>
      </c>
      <c r="AQ138" s="36">
        <f>IF(Table_BDD[[#This Row],[Points]]&lt;0,Table_BDD[[#This Row],[Points]],"")</f>
        <v>-7.2</v>
      </c>
      <c r="AR138" s="36">
        <f>SUM($AO$4:AO138)</f>
        <v>-426.10000000000014</v>
      </c>
      <c r="AS138" s="68">
        <f>IF(Table_BDD[[#This Row],[Position]]="","",IF(Table_BDD[[#This Row],[Conformité]]="Conforme",1,0))</f>
        <v>0</v>
      </c>
      <c r="AT138" s="68">
        <f>IF(Table_BDD[[#This Row],[Position]]="","",IF(Table_BDD[[#This Row],[Conformité]]="Non conforme",1,0))</f>
        <v>1</v>
      </c>
      <c r="AU138" s="37" t="s">
        <v>17</v>
      </c>
      <c r="AV138" s="37"/>
      <c r="AW138" s="37"/>
      <c r="AX138" s="37">
        <v>0</v>
      </c>
      <c r="AY138" s="37">
        <v>0</v>
      </c>
      <c r="AZ138" s="37">
        <v>0</v>
      </c>
      <c r="BA138" s="40" t="str">
        <f>IF(Table_BDD[[#This Row],[Position]]="","Sans objet",IF(AND(Table_BDD[[#This Row],[Type]]="sell",Table_BDD[[#This Row],[S / L]]&lt;Table_BDD[[#This Row],[Lvl Entrée]],Table_BDD[[#This Row],[Lvl Sortie]]&lt;=Table_BDD[[#This Row],[S / L]]+2,Table_BDD[[#This Row],[Lvl Sortie]]&lt;Table_BDD[[#This Row],[Lvl Entrée]]-19),"Oui",IF(AND(Table_BDD[[#This Row],[Type]]="buy",Table_BDD[[#This Row],[S / L]]&gt;Table_BDD[[#This Row],[Lvl Entrée]],Table_BDD[[#This Row],[Lvl Sortie]]&gt;=Table_BDD[[#This Row],[S / L]]-2,Table_BDD[[#This Row],[S / L]]&gt;Table_BDD[[#This Row],[Lvl Entrée]]+19),"Oui","Non")))</f>
        <v>Non</v>
      </c>
      <c r="BB138" s="40" t="str">
        <f>IF(Table_BDD[[#This Row],[Position]]="","Sans objet",IF(AND(Table_BDD[[#This Row],[Type]]="sell",Table_BDD[[#This Row],[S / L]]&lt;Table_BDD[[#This Row],[Lvl Entrée]],Table_BDD[[#This Row],[Points]]&gt;=-1),"Oui",IF(AND(Table_BDD[[#This Row],[Type]]="sell",Table_BDD[[#This Row],[S / L]]&gt;Table_BDD[[#This Row],[Lvl Entrée]]),"Non",IF(AND(Table_BDD[[#This Row],[Type]]="buy",Table_BDD[[#This Row],[S / L]]&lt;Table_BDD[[#This Row],[Lvl Entrée]]),"Non",IF(AND(Table_BDD[[#This Row],[Type]]="buy",Table_BDD[[#This Row],[S / L]]&gt;Table_BDD[[#This Row],[Lvl Entrée]],Table_BDD[[#This Row],[Points]]&gt;=-1),"Oui")))))</f>
        <v>Non</v>
      </c>
      <c r="BC138" s="40" t="str">
        <f>IF(Table_BDD[[#This Row],[Position]]="","Sans objet",IF(Table_BDD[[#This Row],[T / P]]="","Non",IF(AND(Table_BDD[[#This Row],[Type]]="sell",Table_BDD[[#This Row],[Lvl Sortie]]&lt;=Table_BDD[[#This Row],[T / P]]),"Oui",IF(AND(Table_BDD[[#This Row],[Type]]="buy",Table_BDD[[#This Row],[Lvl Sortie]]&gt;=Table_BDD[[#This Row],[T / P]]),"Oui","Non"))))</f>
        <v>Non</v>
      </c>
      <c r="BD138" s="91">
        <f t="array" ref="BD138">IFERROR(INDEX(downloadFile[#All],MATCH(Table_BDD[[#This Row],[Date]],downloadFile[[#All],[Column1]],0),2),BD137)</f>
        <v>1.0842000000000001</v>
      </c>
      <c r="BE138" s="89">
        <f>IF(Table_BDD[[#This Row],[Position]]="","",IF(Table_BDD[[#This Row],[Symbole]]="UsaInd",(Table_BDD[[#This Row],[Volume]]*Table_BDD[[#This Row],[Lvl Entrée]])/(Table_BDD[[#This Row],[Equité avant trade]]*Table_BDD[[#This Row],[EUR/USD]]),IF(Table_BDD[[#This Row],[Symbole]]="Ger30",(Table_BDD[[#This Row],[Volume]]*Table_BDD[[#This Row],[Lvl Entrée]])/Table_BDD[[#This Row],[Equité avant trade]],)))</f>
        <v>15.109969529746197</v>
      </c>
      <c r="BF138" s="38">
        <f>IF(Table_BDD[[#This Row],[Position]]="","",IF(Table_BDD[[#This Row],[Conformité]]="Non conforme",0,(MROUND(3*((Table_BDD[[#This Row],[Conviction]]+Table_BDD[[#This Row],[Timing]]+Table_BDD[[#This Row],[Sortie]])+1)-2,1))))</f>
        <v>0</v>
      </c>
      <c r="BG138" s="38" t="str">
        <f>IF(Table_BDD[[#This Row],[Position]]="","",IF(Table_BDD[[#This Row],[Points]]&lt;-5,"--",IF(AND(Table_BDD[[#This Row],[Points]]&gt;=-5,Table_BDD[[#This Row],[Points]]&lt;-1.5),"-",IF(AND(Table_BDD[[#This Row],[Points]]&gt;=-1.5,Table_BDD[[#This Row],[Points]]&lt;1.5),"0",IF(AND(Table_BDD[[#This Row],[Points]]&gt;=1.5,Table_BDD[[#This Row],[Points]]&lt;=70),"+",IF(Table_BDD[[#This Row],[Points]]&gt;70,"++"))))))</f>
        <v>--</v>
      </c>
      <c r="BH138" s="37" t="str">
        <f>IF(Table_BDD[[#This Row],[Position]]="","",IF(Table_BDD[[#This Row],[Points]]&gt;0,"Gagnant",IF(Table_BDD[[#This Row],[Points]]=0,"Flat","Perdant")))</f>
        <v>Perdant</v>
      </c>
      <c r="BI138" s="40">
        <f>IF(Table_BDD[[#This Row],[Position]]="","",IF(Table_BDD[[#This Row],[Résultat]]="Gagnant",1,0))</f>
        <v>0</v>
      </c>
      <c r="BJ138" s="40">
        <f>IF(Table_BDD[[#This Row],[Position]]="","",IF(Table_BDD[[#This Row],[Résultat]]="Perdant",1,0))</f>
        <v>1</v>
      </c>
      <c r="BK138" s="40"/>
      <c r="BL138" s="145" t="str">
        <f>IF(Table_BDD[[#This Row],[T / P]]="","",Table_BDD[[#This Row],[T / P]])</f>
        <v/>
      </c>
      <c r="BM138" s="147"/>
      <c r="BN138" s="147"/>
      <c r="BO138" s="147"/>
      <c r="BP138" s="147"/>
      <c r="BQ138" s="127"/>
    </row>
    <row r="139" spans="1:69" x14ac:dyDescent="0.2">
      <c r="A139" s="93">
        <v>43875.746331018519</v>
      </c>
      <c r="B139" s="94">
        <v>259996559</v>
      </c>
      <c r="C139" s="37" t="s">
        <v>8</v>
      </c>
      <c r="D139" s="37" t="s">
        <v>9</v>
      </c>
      <c r="E139" s="37">
        <v>0.45</v>
      </c>
      <c r="F139" s="95">
        <v>29395.62</v>
      </c>
      <c r="G139" s="95">
        <v>29385.62</v>
      </c>
      <c r="H139" s="95">
        <v>29595.62</v>
      </c>
      <c r="I139" s="93">
        <v>43875.754548611112</v>
      </c>
      <c r="J139" s="95">
        <v>29384.79</v>
      </c>
      <c r="K139" s="95">
        <v>0</v>
      </c>
      <c r="L139" s="95">
        <v>0</v>
      </c>
      <c r="M139" s="32">
        <v>-4.49</v>
      </c>
      <c r="N139" s="148">
        <f>IF(Table_BDD[[#This Row],[Position]]="","",ROW()-3)</f>
        <v>136</v>
      </c>
      <c r="O139" s="32">
        <f>SUM($L$4:M139)</f>
        <v>-199.90999999999997</v>
      </c>
      <c r="P139" s="32">
        <f>Table_BDD[[#This Row],[Equité avant trade]]+Table_BDD[[#This Row],[Profit]]+Table_BDD[[#This Row],[Echange]]</f>
        <v>800.09</v>
      </c>
      <c r="Q139" s="52">
        <f>INT(Table_BDD[[#This Row],[Horodatage cloture]])</f>
        <v>43875</v>
      </c>
      <c r="R139" s="34">
        <f>WEEKNUM(Table_BDD[[#This Row],[Horodatage cloture]],2)</f>
        <v>7</v>
      </c>
      <c r="S139" s="61">
        <f>WEEKDAY(Table_BDD[[#This Row],[Horodatage cloture]])</f>
        <v>6</v>
      </c>
      <c r="T139" s="63">
        <f>HOUR(Table_BDD[[#This Row],[Horodatage cloture]])</f>
        <v>18</v>
      </c>
      <c r="U139" s="68">
        <f>IF(Table_BDD[[#This Row],[Position]]="","",IF(Table_BDD[[#This Row],[Valeur début de journée unique]]&lt;&gt;0,1,0))</f>
        <v>0</v>
      </c>
      <c r="V139" s="68" t="str">
        <f>IF(Table_BDD[[#This Row],[Nb de séance de trading]]=1,COUNTIF(Table_BDD[Date],Table_BDD[[#This Row],[Date]]),"")</f>
        <v/>
      </c>
      <c r="W139" s="33">
        <f>IF(Table_BDD[[#This Row],[Position]]="","",IF(Table_BDD[[#This Row],[Type]]="buy",ROUND(Table_BDD[[#This Row],[Lvl Entrée]]-Table_BDD[[#This Row],[S / L]],1),ROUND(Table_BDD[[#This Row],[S / L]]-Table_BDD[[#This Row],[Lvl Entrée]],1)))</f>
        <v>10</v>
      </c>
      <c r="X139" s="33">
        <f>IF(Table_BDD[[#This Row],[Position]]="","",IF(Table_BDD[[#This Row],[T / P]]=0,200,IF(Table_BDD[[#This Row],[Type]]="buy",ROUND(Table_BDD[[#This Row],[T / P]]-Table_BDD[[#This Row],[Lvl Entrée]],1),ROUND(Table_BDD[[#This Row],[Lvl Entrée]]-Table_BDD[[#This Row],[T / P]],1))))</f>
        <v>200</v>
      </c>
      <c r="Y139" s="34">
        <f>IF(Table_BDD[[#This Row],[Position]]="","",IF(Table_BDD[[#This Row],[Ecart du SL]]&gt;0,ROUND(ABS(Table_BDD[[#This Row],[Ecart du TP]])/ABS(Table_BDD[[#This Row],[Ecart du SL]]),1),ROUND(ABS(Table_BDD[[#This Row],[Ecart du TP]])/10,1)))</f>
        <v>20</v>
      </c>
      <c r="Z139" s="34">
        <f>IF(Table_BDD[[#This Row],[Position]]="","",IF(Table_BDD[[#This Row],[Ecart du SL]]&lt;0,IF(AND(Table_BDD[[#This Row],[Profit]]&gt;0,Table_BDD[[#This Row],[Type]]="sell"),ROUND((Table_BDD[[#This Row],[Lvl Entrée]]-Table_BDD[[#This Row],[Lvl Sortie]])/(10),1),IF(AND(Table_BDD[[#This Row],[Profit]]&gt;0,Table_BDD[[#This Row],[Type]]="buy"),ROUND((Table_BDD[[#This Row],[Lvl Sortie]]-Table_BDD[[#This Row],[Lvl Entrée]])/(10),1),)),IF(AND(Table_BDD[[#This Row],[Profit]]&gt;0,Table_BDD[[#This Row],[Type]]="sell"),ROUND((Table_BDD[[#This Row],[Lvl Entrée]]-Table_BDD[[#This Row],[Lvl Sortie]])/(Table_BDD[[#This Row],[S / L]]-Table_BDD[[#This Row],[Lvl Entrée]]),1),IF(AND(Table_BDD[[#This Row],[Profit]]&gt;0,Table_BDD[[#This Row],[Type]]="buy"),ROUND((Table_BDD[[#This Row],[Lvl Sortie]]-Table_BDD[[#This Row],[Lvl Entrée]])/(Table_BDD[[#This Row],[Lvl Entrée]]-Table_BDD[[#This Row],[S / L]]),1),ROUND(Table_BDD[[#This Row],[Points]]/10,1)))))</f>
        <v>-1.1000000000000001</v>
      </c>
      <c r="AA139" s="32">
        <f>IF(Table_BDD[[#This Row],[Position]]="",AA138,Table_BDD[[#This Row],[Equité après trade]]-Table_BDD[[#This Row],[Profit]]-Table_BDD[[#This Row],[Echange]])</f>
        <v>804.58</v>
      </c>
      <c r="AB139" s="149">
        <f>$B$1+SUM($L$4:M139)</f>
        <v>800.09</v>
      </c>
      <c r="AC139" s="150">
        <f>IF(Table_BDD[[#This Row],[Position]]="","",_xlfn.MINIFS(Table_BDD[Horodatage ouverture],Table_BDD[Date],Table_BDD[Date]))</f>
        <v>43875.390983796293</v>
      </c>
      <c r="AD139" s="149">
        <f>VLOOKUP(_xlfn.MINIFS(Table_BDD[Horodatage ouverture],Table_BDD[Date],Table_BDD[Date]),Table_BDD[[Horodatage ouverture]:[Heure derniere valeur]],AA$2)</f>
        <v>867.85</v>
      </c>
      <c r="AE139" s="149">
        <f>IF(VLOOKUP(_xlfn.MINIFS(Table_BDD[Horodatage ouverture],Table_BDD[Date],Table_BDD[Date]),Table_BDD[[Horodatage ouverture]:[Heure derniere valeur]],AA$2)=Table_BDD[[#This Row],[Equité avant trade]],VLOOKUP(_xlfn.MINIFS(Table_BDD[Horodatage ouverture],Table_BDD[Date],Table_BDD[Date]),Table_BDD[[Horodatage ouverture]:[Heure derniere valeur]],AA$2),0)</f>
        <v>0</v>
      </c>
      <c r="AF139" s="150">
        <f>IF(Table_BDD[[#This Row],[Position]]="","",_xlfn.MAXIFS(Table_BDD[Horodatage ouverture],Table_BDD[Date],Table_BDD[Date]))</f>
        <v>43875.829016203701</v>
      </c>
      <c r="AG139" s="32">
        <f>VLOOKUP(_xlfn.MAXIFS(Table_BDD[Horodatage cloture],Table_BDD[Date],Table_BDD[Date]),Table_BDD[[Horodatage ouverture]:[Heure derniere valeur]],AB$2)</f>
        <v>775.01</v>
      </c>
      <c r="AH139" s="32">
        <f>IF(VLOOKUP(_xlfn.MAXIFS(Table_BDD[Horodatage cloture],Table_BDD[Date],Table_BDD[Date]),Table_BDD[[Horodatage ouverture]:[Heure derniere valeur]],AB$2)=Table_BDD[[#This Row],[Equité après trade]],VLOOKUP(_xlfn.MAXIFS(Table_BDD[Horodatage cloture],Table_BDD[Date],Table_BDD[Date]),Table_BDD[[Horodatage ouverture]:[Heure derniere valeur]],AB$2),0)</f>
        <v>0</v>
      </c>
      <c r="AI139" s="32" t="e">
        <f>IF(Table_BDD[[#This Row],[Valeur fin de journée unique]]=0,#N/A,Table_BDD[[#This Row],[Valeur fin de journée unique]])</f>
        <v>#N/A</v>
      </c>
      <c r="AJ139" s="35">
        <f>IF(Table_BDD[[#This Row],[Position]]="","",(Table_BDD[[#This Row],[Equité après trade]]-Table_BDD[[#This Row],[Equité avant trade]])/Table_BDD[[#This Row],[Equité avant trade]])</f>
        <v>-5.5805513435581407E-3</v>
      </c>
      <c r="AK139" s="35" t="str">
        <f>IFERROR(((INDEX(Table_BDD[[Trade n°]:[Valeur fin de journée unique]],Table_BDD[[#This Row],[Nb de trade du jour]]+Table_BDD[[#This Row],[Trade n°]]-1,21))-Table_BDD[[#This Row],[Valeur début de journée unique]])/Table_BDD[[#This Row],[Valeur début de journée unique]],"")</f>
        <v/>
      </c>
      <c r="AL139" s="32">
        <f>IF(Table_BDD[[#This Row],[Position]]="","",MAX(Table_BDD[[#This Row],[Cumul équité]],AL138))</f>
        <v>1052.8399999999999</v>
      </c>
      <c r="AM139" s="32">
        <f>IF(Table_BDD[[#This Row],[Position]]="","",MIN(Table_BDD[[#This Row],[Cumul équité]],AL138))</f>
        <v>800.09</v>
      </c>
      <c r="AN139" s="97">
        <f>IF(Table_BDD[[#This Row],[Sommet Drawdown]]&gt;AL138,"",Table_BDD[[#This Row],[Creux Drawdown]]/Table_BDD[[#This Row],[Sommet Drawdown]]-1)</f>
        <v>-0.24006496713650693</v>
      </c>
      <c r="AO139" s="36">
        <f>IF(Table_BDD[[#This Row],[Position]]="","",IF(Table_BDD[[#This Row],[Type]]="buy",ROUND(Table_BDD[[#This Row],[Lvl Sortie]]-Table_BDD[[#This Row],[Lvl Entrée]],1),ROUND(Table_BDD[[#This Row],[Lvl Entrée]]-Table_BDD[[#This Row],[Lvl Sortie]],1)))</f>
        <v>-10.8</v>
      </c>
      <c r="AP139" s="36" t="str">
        <f>IF(Table_BDD[[#This Row],[Points]]&gt;0,Table_BDD[[#This Row],[Points]],"")</f>
        <v/>
      </c>
      <c r="AQ139" s="36">
        <f>IF(Table_BDD[[#This Row],[Points]]&lt;0,Table_BDD[[#This Row],[Points]],"")</f>
        <v>-10.8</v>
      </c>
      <c r="AR139" s="36">
        <f>SUM($AO$4:AO139)</f>
        <v>-436.90000000000015</v>
      </c>
      <c r="AS139" s="68">
        <f>IF(Table_BDD[[#This Row],[Position]]="","",IF(Table_BDD[[#This Row],[Conformité]]="Conforme",1,0))</f>
        <v>0</v>
      </c>
      <c r="AT139" s="68">
        <f>IF(Table_BDD[[#This Row],[Position]]="","",IF(Table_BDD[[#This Row],[Conformité]]="Non conforme",1,0))</f>
        <v>1</v>
      </c>
      <c r="AU139" s="37" t="s">
        <v>17</v>
      </c>
      <c r="AV139" s="37"/>
      <c r="AW139" s="37"/>
      <c r="AX139" s="37">
        <v>0</v>
      </c>
      <c r="AY139" s="37">
        <v>0</v>
      </c>
      <c r="AZ139" s="37">
        <v>0</v>
      </c>
      <c r="BA139" s="40" t="str">
        <f>IF(Table_BDD[[#This Row],[Position]]="","Sans objet",IF(AND(Table_BDD[[#This Row],[Type]]="sell",Table_BDD[[#This Row],[S / L]]&lt;Table_BDD[[#This Row],[Lvl Entrée]],Table_BDD[[#This Row],[Lvl Sortie]]&lt;=Table_BDD[[#This Row],[S / L]]+2,Table_BDD[[#This Row],[Lvl Sortie]]&lt;Table_BDD[[#This Row],[Lvl Entrée]]-19),"Oui",IF(AND(Table_BDD[[#This Row],[Type]]="buy",Table_BDD[[#This Row],[S / L]]&gt;Table_BDD[[#This Row],[Lvl Entrée]],Table_BDD[[#This Row],[Lvl Sortie]]&gt;=Table_BDD[[#This Row],[S / L]]-2,Table_BDD[[#This Row],[S / L]]&gt;Table_BDD[[#This Row],[Lvl Entrée]]+19),"Oui","Non")))</f>
        <v>Non</v>
      </c>
      <c r="BB139" s="40" t="str">
        <f>IF(Table_BDD[[#This Row],[Position]]="","Sans objet",IF(AND(Table_BDD[[#This Row],[Type]]="sell",Table_BDD[[#This Row],[S / L]]&lt;Table_BDD[[#This Row],[Lvl Entrée]],Table_BDD[[#This Row],[Points]]&gt;=-1),"Oui",IF(AND(Table_BDD[[#This Row],[Type]]="sell",Table_BDD[[#This Row],[S / L]]&gt;Table_BDD[[#This Row],[Lvl Entrée]]),"Non",IF(AND(Table_BDD[[#This Row],[Type]]="buy",Table_BDD[[#This Row],[S / L]]&lt;Table_BDD[[#This Row],[Lvl Entrée]]),"Non",IF(AND(Table_BDD[[#This Row],[Type]]="buy",Table_BDD[[#This Row],[S / L]]&gt;Table_BDD[[#This Row],[Lvl Entrée]],Table_BDD[[#This Row],[Points]]&gt;=-1),"Oui")))))</f>
        <v>Non</v>
      </c>
      <c r="BC139" s="40" t="str">
        <f>IF(Table_BDD[[#This Row],[Position]]="","Sans objet",IF(Table_BDD[[#This Row],[T / P]]="","Non",IF(AND(Table_BDD[[#This Row],[Type]]="sell",Table_BDD[[#This Row],[Lvl Sortie]]&lt;=Table_BDD[[#This Row],[T / P]]),"Oui",IF(AND(Table_BDD[[#This Row],[Type]]="buy",Table_BDD[[#This Row],[Lvl Sortie]]&gt;=Table_BDD[[#This Row],[T / P]]),"Oui","Non"))))</f>
        <v>Non</v>
      </c>
      <c r="BD139" s="91">
        <f t="array" ref="BD139">IFERROR(INDEX(downloadFile[#All],MATCH(Table_BDD[[#This Row],[Date]],downloadFile[[#All],[Column1]],0),2),BD138)</f>
        <v>1.0842000000000001</v>
      </c>
      <c r="BE139" s="89">
        <f>IF(Table_BDD[[#This Row],[Position]]="","",IF(Table_BDD[[#This Row],[Symbole]]="UsaInd",(Table_BDD[[#This Row],[Volume]]*Table_BDD[[#This Row],[Lvl Entrée]])/(Table_BDD[[#This Row],[Equité avant trade]]*Table_BDD[[#This Row],[EUR/USD]]),IF(Table_BDD[[#This Row],[Symbole]]="Ger30",(Table_BDD[[#This Row],[Volume]]*Table_BDD[[#This Row],[Lvl Entrée]])/Table_BDD[[#This Row],[Equité avant trade]],)))</f>
        <v>15.164095211802305</v>
      </c>
      <c r="BF139" s="38">
        <f>IF(Table_BDD[[#This Row],[Position]]="","",IF(Table_BDD[[#This Row],[Conformité]]="Non conforme",0,(MROUND(3*((Table_BDD[[#This Row],[Conviction]]+Table_BDD[[#This Row],[Timing]]+Table_BDD[[#This Row],[Sortie]])+1)-2,1))))</f>
        <v>0</v>
      </c>
      <c r="BG139" s="38" t="str">
        <f>IF(Table_BDD[[#This Row],[Position]]="","",IF(Table_BDD[[#This Row],[Points]]&lt;-5,"--",IF(AND(Table_BDD[[#This Row],[Points]]&gt;=-5,Table_BDD[[#This Row],[Points]]&lt;-1.5),"-",IF(AND(Table_BDD[[#This Row],[Points]]&gt;=-1.5,Table_BDD[[#This Row],[Points]]&lt;1.5),"0",IF(AND(Table_BDD[[#This Row],[Points]]&gt;=1.5,Table_BDD[[#This Row],[Points]]&lt;=70),"+",IF(Table_BDD[[#This Row],[Points]]&gt;70,"++"))))))</f>
        <v>--</v>
      </c>
      <c r="BH139" s="37" t="str">
        <f>IF(Table_BDD[[#This Row],[Position]]="","",IF(Table_BDD[[#This Row],[Points]]&gt;0,"Gagnant",IF(Table_BDD[[#This Row],[Points]]=0,"Flat","Perdant")))</f>
        <v>Perdant</v>
      </c>
      <c r="BI139" s="40">
        <f>IF(Table_BDD[[#This Row],[Position]]="","",IF(Table_BDD[[#This Row],[Résultat]]="Gagnant",1,0))</f>
        <v>0</v>
      </c>
      <c r="BJ139" s="40">
        <f>IF(Table_BDD[[#This Row],[Position]]="","",IF(Table_BDD[[#This Row],[Résultat]]="Perdant",1,0))</f>
        <v>1</v>
      </c>
      <c r="BK139" s="40"/>
      <c r="BL139" s="145">
        <f>IF(Table_BDD[[#This Row],[T / P]]="","",Table_BDD[[#This Row],[T / P]])</f>
        <v>29595.62</v>
      </c>
      <c r="BM139" s="147"/>
      <c r="BN139" s="147"/>
      <c r="BO139" s="147"/>
      <c r="BP139" s="147"/>
      <c r="BQ139" s="127"/>
    </row>
    <row r="140" spans="1:69" x14ac:dyDescent="0.2">
      <c r="A140" s="93">
        <v>43875.755694444444</v>
      </c>
      <c r="B140" s="94">
        <v>259997243</v>
      </c>
      <c r="C140" s="37" t="s">
        <v>8</v>
      </c>
      <c r="D140" s="37" t="s">
        <v>10</v>
      </c>
      <c r="E140" s="37">
        <v>0.45</v>
      </c>
      <c r="F140" s="95">
        <v>29383.64</v>
      </c>
      <c r="G140" s="95">
        <v>29393.64</v>
      </c>
      <c r="H140" s="95">
        <v>29325.18</v>
      </c>
      <c r="I140" s="93">
        <v>43875.760740740741</v>
      </c>
      <c r="J140" s="95">
        <v>29393.919999999998</v>
      </c>
      <c r="K140" s="95">
        <v>0</v>
      </c>
      <c r="L140" s="95">
        <v>0</v>
      </c>
      <c r="M140" s="32">
        <v>-4.2699999999999996</v>
      </c>
      <c r="N140" s="148">
        <f>IF(Table_BDD[[#This Row],[Position]]="","",ROW()-3)</f>
        <v>137</v>
      </c>
      <c r="O140" s="32">
        <f>SUM($L$4:M140)</f>
        <v>-204.17999999999998</v>
      </c>
      <c r="P140" s="32">
        <f>Table_BDD[[#This Row],[Equité avant trade]]+Table_BDD[[#This Row],[Profit]]+Table_BDD[[#This Row],[Echange]]</f>
        <v>795.82</v>
      </c>
      <c r="Q140" s="52">
        <f>INT(Table_BDD[[#This Row],[Horodatage cloture]])</f>
        <v>43875</v>
      </c>
      <c r="R140" s="34">
        <f>WEEKNUM(Table_BDD[[#This Row],[Horodatage cloture]],2)</f>
        <v>7</v>
      </c>
      <c r="S140" s="61">
        <f>WEEKDAY(Table_BDD[[#This Row],[Horodatage cloture]])</f>
        <v>6</v>
      </c>
      <c r="T140" s="63">
        <f>HOUR(Table_BDD[[#This Row],[Horodatage cloture]])</f>
        <v>18</v>
      </c>
      <c r="U140" s="68">
        <f>IF(Table_BDD[[#This Row],[Position]]="","",IF(Table_BDD[[#This Row],[Valeur début de journée unique]]&lt;&gt;0,1,0))</f>
        <v>0</v>
      </c>
      <c r="V140" s="68" t="str">
        <f>IF(Table_BDD[[#This Row],[Nb de séance de trading]]=1,COUNTIF(Table_BDD[Date],Table_BDD[[#This Row],[Date]]),"")</f>
        <v/>
      </c>
      <c r="W140" s="33">
        <f>IF(Table_BDD[[#This Row],[Position]]="","",IF(Table_BDD[[#This Row],[Type]]="buy",ROUND(Table_BDD[[#This Row],[Lvl Entrée]]-Table_BDD[[#This Row],[S / L]],1),ROUND(Table_BDD[[#This Row],[S / L]]-Table_BDD[[#This Row],[Lvl Entrée]],1)))</f>
        <v>10</v>
      </c>
      <c r="X140" s="33">
        <f>IF(Table_BDD[[#This Row],[Position]]="","",IF(Table_BDD[[#This Row],[T / P]]=0,200,IF(Table_BDD[[#This Row],[Type]]="buy",ROUND(Table_BDD[[#This Row],[T / P]]-Table_BDD[[#This Row],[Lvl Entrée]],1),ROUND(Table_BDD[[#This Row],[Lvl Entrée]]-Table_BDD[[#This Row],[T / P]],1))))</f>
        <v>58.5</v>
      </c>
      <c r="Y140" s="34">
        <f>IF(Table_BDD[[#This Row],[Position]]="","",IF(Table_BDD[[#This Row],[Ecart du SL]]&gt;0,ROUND(ABS(Table_BDD[[#This Row],[Ecart du TP]])/ABS(Table_BDD[[#This Row],[Ecart du SL]]),1),ROUND(ABS(Table_BDD[[#This Row],[Ecart du TP]])/10,1)))</f>
        <v>5.9</v>
      </c>
      <c r="Z140" s="34">
        <f>IF(Table_BDD[[#This Row],[Position]]="","",IF(Table_BDD[[#This Row],[Ecart du SL]]&lt;0,IF(AND(Table_BDD[[#This Row],[Profit]]&gt;0,Table_BDD[[#This Row],[Type]]="sell"),ROUND((Table_BDD[[#This Row],[Lvl Entrée]]-Table_BDD[[#This Row],[Lvl Sortie]])/(10),1),IF(AND(Table_BDD[[#This Row],[Profit]]&gt;0,Table_BDD[[#This Row],[Type]]="buy"),ROUND((Table_BDD[[#This Row],[Lvl Sortie]]-Table_BDD[[#This Row],[Lvl Entrée]])/(10),1),)),IF(AND(Table_BDD[[#This Row],[Profit]]&gt;0,Table_BDD[[#This Row],[Type]]="sell"),ROUND((Table_BDD[[#This Row],[Lvl Entrée]]-Table_BDD[[#This Row],[Lvl Sortie]])/(Table_BDD[[#This Row],[S / L]]-Table_BDD[[#This Row],[Lvl Entrée]]),1),IF(AND(Table_BDD[[#This Row],[Profit]]&gt;0,Table_BDD[[#This Row],[Type]]="buy"),ROUND((Table_BDD[[#This Row],[Lvl Sortie]]-Table_BDD[[#This Row],[Lvl Entrée]])/(Table_BDD[[#This Row],[Lvl Entrée]]-Table_BDD[[#This Row],[S / L]]),1),ROUND(Table_BDD[[#This Row],[Points]]/10,1)))))</f>
        <v>-1</v>
      </c>
      <c r="AA140" s="32">
        <f>IF(Table_BDD[[#This Row],[Position]]="",AA139,Table_BDD[[#This Row],[Equité après trade]]-Table_BDD[[#This Row],[Profit]]-Table_BDD[[#This Row],[Echange]])</f>
        <v>800.09</v>
      </c>
      <c r="AB140" s="149">
        <f>$B$1+SUM($L$4:M140)</f>
        <v>795.82</v>
      </c>
      <c r="AC140" s="150">
        <f>IF(Table_BDD[[#This Row],[Position]]="","",_xlfn.MINIFS(Table_BDD[Horodatage ouverture],Table_BDD[Date],Table_BDD[Date]))</f>
        <v>43875.390983796293</v>
      </c>
      <c r="AD140" s="149">
        <f>VLOOKUP(_xlfn.MINIFS(Table_BDD[Horodatage ouverture],Table_BDD[Date],Table_BDD[Date]),Table_BDD[[Horodatage ouverture]:[Heure derniere valeur]],AA$2)</f>
        <v>867.85</v>
      </c>
      <c r="AE140" s="149">
        <f>IF(VLOOKUP(_xlfn.MINIFS(Table_BDD[Horodatage ouverture],Table_BDD[Date],Table_BDD[Date]),Table_BDD[[Horodatage ouverture]:[Heure derniere valeur]],AA$2)=Table_BDD[[#This Row],[Equité avant trade]],VLOOKUP(_xlfn.MINIFS(Table_BDD[Horodatage ouverture],Table_BDD[Date],Table_BDD[Date]),Table_BDD[[Horodatage ouverture]:[Heure derniere valeur]],AA$2),0)</f>
        <v>0</v>
      </c>
      <c r="AF140" s="150">
        <f>IF(Table_BDD[[#This Row],[Position]]="","",_xlfn.MAXIFS(Table_BDD[Horodatage ouverture],Table_BDD[Date],Table_BDD[Date]))</f>
        <v>43875.829016203701</v>
      </c>
      <c r="AG140" s="32">
        <f>VLOOKUP(_xlfn.MAXIFS(Table_BDD[Horodatage cloture],Table_BDD[Date],Table_BDD[Date]),Table_BDD[[Horodatage ouverture]:[Heure derniere valeur]],AB$2)</f>
        <v>775.01</v>
      </c>
      <c r="AH140" s="32">
        <f>IF(VLOOKUP(_xlfn.MAXIFS(Table_BDD[Horodatage cloture],Table_BDD[Date],Table_BDD[Date]),Table_BDD[[Horodatage ouverture]:[Heure derniere valeur]],AB$2)=Table_BDD[[#This Row],[Equité après trade]],VLOOKUP(_xlfn.MAXIFS(Table_BDD[Horodatage cloture],Table_BDD[Date],Table_BDD[Date]),Table_BDD[[Horodatage ouverture]:[Heure derniere valeur]],AB$2),0)</f>
        <v>0</v>
      </c>
      <c r="AI140" s="32" t="e">
        <f>IF(Table_BDD[[#This Row],[Valeur fin de journée unique]]=0,#N/A,Table_BDD[[#This Row],[Valeur fin de journée unique]])</f>
        <v>#N/A</v>
      </c>
      <c r="AJ140" s="35">
        <f>IF(Table_BDD[[#This Row],[Position]]="","",(Table_BDD[[#This Row],[Equité après trade]]-Table_BDD[[#This Row],[Equité avant trade]])/Table_BDD[[#This Row],[Equité avant trade]])</f>
        <v>-5.3368995987951124E-3</v>
      </c>
      <c r="AK140" s="35" t="str">
        <f>IFERROR(((INDEX(Table_BDD[[Trade n°]:[Valeur fin de journée unique]],Table_BDD[[#This Row],[Nb de trade du jour]]+Table_BDD[[#This Row],[Trade n°]]-1,21))-Table_BDD[[#This Row],[Valeur début de journée unique]])/Table_BDD[[#This Row],[Valeur début de journée unique]],"")</f>
        <v/>
      </c>
      <c r="AL140" s="32">
        <f>IF(Table_BDD[[#This Row],[Position]]="","",MAX(Table_BDD[[#This Row],[Cumul équité]],AL139))</f>
        <v>1052.8399999999999</v>
      </c>
      <c r="AM140" s="32">
        <f>IF(Table_BDD[[#This Row],[Position]]="","",MIN(Table_BDD[[#This Row],[Cumul équité]],AL139))</f>
        <v>795.82</v>
      </c>
      <c r="AN140" s="97">
        <f>IF(Table_BDD[[#This Row],[Sommet Drawdown]]&gt;AL139,"",Table_BDD[[#This Row],[Creux Drawdown]]/Table_BDD[[#This Row],[Sommet Drawdown]]-1)</f>
        <v>-0.24412066410850641</v>
      </c>
      <c r="AO140" s="36">
        <f>IF(Table_BDD[[#This Row],[Position]]="","",IF(Table_BDD[[#This Row],[Type]]="buy",ROUND(Table_BDD[[#This Row],[Lvl Sortie]]-Table_BDD[[#This Row],[Lvl Entrée]],1),ROUND(Table_BDD[[#This Row],[Lvl Entrée]]-Table_BDD[[#This Row],[Lvl Sortie]],1)))</f>
        <v>-10.3</v>
      </c>
      <c r="AP140" s="36" t="str">
        <f>IF(Table_BDD[[#This Row],[Points]]&gt;0,Table_BDD[[#This Row],[Points]],"")</f>
        <v/>
      </c>
      <c r="AQ140" s="36">
        <f>IF(Table_BDD[[#This Row],[Points]]&lt;0,Table_BDD[[#This Row],[Points]],"")</f>
        <v>-10.3</v>
      </c>
      <c r="AR140" s="36">
        <f>SUM($AO$4:AO140)</f>
        <v>-447.20000000000016</v>
      </c>
      <c r="AS140" s="68">
        <f>IF(Table_BDD[[#This Row],[Position]]="","",IF(Table_BDD[[#This Row],[Conformité]]="Conforme",1,0))</f>
        <v>0</v>
      </c>
      <c r="AT140" s="68">
        <f>IF(Table_BDD[[#This Row],[Position]]="","",IF(Table_BDD[[#This Row],[Conformité]]="Non conforme",1,0))</f>
        <v>1</v>
      </c>
      <c r="AU140" s="37" t="s">
        <v>17</v>
      </c>
      <c r="AV140" s="37"/>
      <c r="AW140" s="37"/>
      <c r="AX140" s="37">
        <v>0</v>
      </c>
      <c r="AY140" s="37">
        <v>0</v>
      </c>
      <c r="AZ140" s="37">
        <v>0</v>
      </c>
      <c r="BA140" s="40" t="str">
        <f>IF(Table_BDD[[#This Row],[Position]]="","Sans objet",IF(AND(Table_BDD[[#This Row],[Type]]="sell",Table_BDD[[#This Row],[S / L]]&lt;Table_BDD[[#This Row],[Lvl Entrée]],Table_BDD[[#This Row],[Lvl Sortie]]&lt;=Table_BDD[[#This Row],[S / L]]+2,Table_BDD[[#This Row],[Lvl Sortie]]&lt;Table_BDD[[#This Row],[Lvl Entrée]]-19),"Oui",IF(AND(Table_BDD[[#This Row],[Type]]="buy",Table_BDD[[#This Row],[S / L]]&gt;Table_BDD[[#This Row],[Lvl Entrée]],Table_BDD[[#This Row],[Lvl Sortie]]&gt;=Table_BDD[[#This Row],[S / L]]-2,Table_BDD[[#This Row],[S / L]]&gt;Table_BDD[[#This Row],[Lvl Entrée]]+19),"Oui","Non")))</f>
        <v>Non</v>
      </c>
      <c r="BB140" s="40" t="str">
        <f>IF(Table_BDD[[#This Row],[Position]]="","Sans objet",IF(AND(Table_BDD[[#This Row],[Type]]="sell",Table_BDD[[#This Row],[S / L]]&lt;Table_BDD[[#This Row],[Lvl Entrée]],Table_BDD[[#This Row],[Points]]&gt;=-1),"Oui",IF(AND(Table_BDD[[#This Row],[Type]]="sell",Table_BDD[[#This Row],[S / L]]&gt;Table_BDD[[#This Row],[Lvl Entrée]]),"Non",IF(AND(Table_BDD[[#This Row],[Type]]="buy",Table_BDD[[#This Row],[S / L]]&lt;Table_BDD[[#This Row],[Lvl Entrée]]),"Non",IF(AND(Table_BDD[[#This Row],[Type]]="buy",Table_BDD[[#This Row],[S / L]]&gt;Table_BDD[[#This Row],[Lvl Entrée]],Table_BDD[[#This Row],[Points]]&gt;=-1),"Oui")))))</f>
        <v>Non</v>
      </c>
      <c r="BC140" s="40" t="str">
        <f>IF(Table_BDD[[#This Row],[Position]]="","Sans objet",IF(Table_BDD[[#This Row],[T / P]]="","Non",IF(AND(Table_BDD[[#This Row],[Type]]="sell",Table_BDD[[#This Row],[Lvl Sortie]]&lt;=Table_BDD[[#This Row],[T / P]]),"Oui",IF(AND(Table_BDD[[#This Row],[Type]]="buy",Table_BDD[[#This Row],[Lvl Sortie]]&gt;=Table_BDD[[#This Row],[T / P]]),"Oui","Non"))))</f>
        <v>Non</v>
      </c>
      <c r="BD140" s="91">
        <f t="array" ref="BD140">IFERROR(INDEX(downloadFile[#All],MATCH(Table_BDD[[#This Row],[Date]],downloadFile[[#All],[Column1]],0),2),BD139)</f>
        <v>1.0842000000000001</v>
      </c>
      <c r="BE140" s="89">
        <f>IF(Table_BDD[[#This Row],[Position]]="","",IF(Table_BDD[[#This Row],[Symbole]]="UsaInd",(Table_BDD[[#This Row],[Volume]]*Table_BDD[[#This Row],[Lvl Entrée]])/(Table_BDD[[#This Row],[Equité avant trade]]*Table_BDD[[#This Row],[EUR/USD]]),IF(Table_BDD[[#This Row],[Symbole]]="Ger30",(Table_BDD[[#This Row],[Volume]]*Table_BDD[[#This Row],[Lvl Entrée]])/Table_BDD[[#This Row],[Equité avant trade]],)))</f>
        <v>15.242979409420755</v>
      </c>
      <c r="BF140" s="38">
        <f>IF(Table_BDD[[#This Row],[Position]]="","",IF(Table_BDD[[#This Row],[Conformité]]="Non conforme",0,(MROUND(3*((Table_BDD[[#This Row],[Conviction]]+Table_BDD[[#This Row],[Timing]]+Table_BDD[[#This Row],[Sortie]])+1)-2,1))))</f>
        <v>0</v>
      </c>
      <c r="BG140" s="38" t="str">
        <f>IF(Table_BDD[[#This Row],[Position]]="","",IF(Table_BDD[[#This Row],[Points]]&lt;-5,"--",IF(AND(Table_BDD[[#This Row],[Points]]&gt;=-5,Table_BDD[[#This Row],[Points]]&lt;-1.5),"-",IF(AND(Table_BDD[[#This Row],[Points]]&gt;=-1.5,Table_BDD[[#This Row],[Points]]&lt;1.5),"0",IF(AND(Table_BDD[[#This Row],[Points]]&gt;=1.5,Table_BDD[[#This Row],[Points]]&lt;=70),"+",IF(Table_BDD[[#This Row],[Points]]&gt;70,"++"))))))</f>
        <v>--</v>
      </c>
      <c r="BH140" s="37" t="str">
        <f>IF(Table_BDD[[#This Row],[Position]]="","",IF(Table_BDD[[#This Row],[Points]]&gt;0,"Gagnant",IF(Table_BDD[[#This Row],[Points]]=0,"Flat","Perdant")))</f>
        <v>Perdant</v>
      </c>
      <c r="BI140" s="40">
        <f>IF(Table_BDD[[#This Row],[Position]]="","",IF(Table_BDD[[#This Row],[Résultat]]="Gagnant",1,0))</f>
        <v>0</v>
      </c>
      <c r="BJ140" s="40">
        <f>IF(Table_BDD[[#This Row],[Position]]="","",IF(Table_BDD[[#This Row],[Résultat]]="Perdant",1,0))</f>
        <v>1</v>
      </c>
      <c r="BK140" s="40"/>
      <c r="BL140" s="145">
        <f>IF(Table_BDD[[#This Row],[T / P]]="","",Table_BDD[[#This Row],[T / P]])</f>
        <v>29325.18</v>
      </c>
      <c r="BM140" s="147"/>
      <c r="BN140" s="147"/>
      <c r="BO140" s="147"/>
      <c r="BP140" s="147"/>
      <c r="BQ140" s="127"/>
    </row>
    <row r="141" spans="1:69" x14ac:dyDescent="0.2">
      <c r="A141" s="93">
        <v>43875.761574074073</v>
      </c>
      <c r="B141" s="94">
        <v>259997899</v>
      </c>
      <c r="C141" s="37" t="s">
        <v>8</v>
      </c>
      <c r="D141" s="37" t="s">
        <v>10</v>
      </c>
      <c r="E141" s="37">
        <v>0.45</v>
      </c>
      <c r="F141" s="95">
        <v>29385.69</v>
      </c>
      <c r="G141" s="95">
        <v>29395.69</v>
      </c>
      <c r="H141" s="95"/>
      <c r="I141" s="93">
        <v>43875.774861111109</v>
      </c>
      <c r="J141" s="95">
        <v>29383.91</v>
      </c>
      <c r="K141" s="95">
        <v>0</v>
      </c>
      <c r="L141" s="95">
        <v>0</v>
      </c>
      <c r="M141" s="32">
        <v>0.74</v>
      </c>
      <c r="N141" s="148">
        <f>IF(Table_BDD[[#This Row],[Position]]="","",ROW()-3)</f>
        <v>138</v>
      </c>
      <c r="O141" s="32">
        <f>SUM($L$4:M141)</f>
        <v>-203.43999999999997</v>
      </c>
      <c r="P141" s="32">
        <f>Table_BDD[[#This Row],[Equité avant trade]]+Table_BDD[[#This Row],[Profit]]+Table_BDD[[#This Row],[Echange]]</f>
        <v>796.56000000000006</v>
      </c>
      <c r="Q141" s="52">
        <f>INT(Table_BDD[[#This Row],[Horodatage cloture]])</f>
        <v>43875</v>
      </c>
      <c r="R141" s="34">
        <f>WEEKNUM(Table_BDD[[#This Row],[Horodatage cloture]],2)</f>
        <v>7</v>
      </c>
      <c r="S141" s="61">
        <f>WEEKDAY(Table_BDD[[#This Row],[Horodatage cloture]])</f>
        <v>6</v>
      </c>
      <c r="T141" s="63">
        <f>HOUR(Table_BDD[[#This Row],[Horodatage cloture]])</f>
        <v>18</v>
      </c>
      <c r="U141" s="68">
        <f>IF(Table_BDD[[#This Row],[Position]]="","",IF(Table_BDD[[#This Row],[Valeur début de journée unique]]&lt;&gt;0,1,0))</f>
        <v>0</v>
      </c>
      <c r="V141" s="68" t="str">
        <f>IF(Table_BDD[[#This Row],[Nb de séance de trading]]=1,COUNTIF(Table_BDD[Date],Table_BDD[[#This Row],[Date]]),"")</f>
        <v/>
      </c>
      <c r="W141" s="33">
        <f>IF(Table_BDD[[#This Row],[Position]]="","",IF(Table_BDD[[#This Row],[Type]]="buy",ROUND(Table_BDD[[#This Row],[Lvl Entrée]]-Table_BDD[[#This Row],[S / L]],1),ROUND(Table_BDD[[#This Row],[S / L]]-Table_BDD[[#This Row],[Lvl Entrée]],1)))</f>
        <v>10</v>
      </c>
      <c r="X141" s="33">
        <f>IF(Table_BDD[[#This Row],[Position]]="","",IF(Table_BDD[[#This Row],[T / P]]=0,200,IF(Table_BDD[[#This Row],[Type]]="buy",ROUND(Table_BDD[[#This Row],[T / P]]-Table_BDD[[#This Row],[Lvl Entrée]],1),ROUND(Table_BDD[[#This Row],[Lvl Entrée]]-Table_BDD[[#This Row],[T / P]],1))))</f>
        <v>200</v>
      </c>
      <c r="Y141" s="34">
        <f>IF(Table_BDD[[#This Row],[Position]]="","",IF(Table_BDD[[#This Row],[Ecart du SL]]&gt;0,ROUND(ABS(Table_BDD[[#This Row],[Ecart du TP]])/ABS(Table_BDD[[#This Row],[Ecart du SL]]),1),ROUND(ABS(Table_BDD[[#This Row],[Ecart du TP]])/10,1)))</f>
        <v>20</v>
      </c>
      <c r="Z141" s="34">
        <f>IF(Table_BDD[[#This Row],[Position]]="","",IF(Table_BDD[[#This Row],[Ecart du SL]]&lt;0,IF(AND(Table_BDD[[#This Row],[Profit]]&gt;0,Table_BDD[[#This Row],[Type]]="sell"),ROUND((Table_BDD[[#This Row],[Lvl Entrée]]-Table_BDD[[#This Row],[Lvl Sortie]])/(10),1),IF(AND(Table_BDD[[#This Row],[Profit]]&gt;0,Table_BDD[[#This Row],[Type]]="buy"),ROUND((Table_BDD[[#This Row],[Lvl Sortie]]-Table_BDD[[#This Row],[Lvl Entrée]])/(10),1),)),IF(AND(Table_BDD[[#This Row],[Profit]]&gt;0,Table_BDD[[#This Row],[Type]]="sell"),ROUND((Table_BDD[[#This Row],[Lvl Entrée]]-Table_BDD[[#This Row],[Lvl Sortie]])/(Table_BDD[[#This Row],[S / L]]-Table_BDD[[#This Row],[Lvl Entrée]]),1),IF(AND(Table_BDD[[#This Row],[Profit]]&gt;0,Table_BDD[[#This Row],[Type]]="buy"),ROUND((Table_BDD[[#This Row],[Lvl Sortie]]-Table_BDD[[#This Row],[Lvl Entrée]])/(Table_BDD[[#This Row],[Lvl Entrée]]-Table_BDD[[#This Row],[S / L]]),1),ROUND(Table_BDD[[#This Row],[Points]]/10,1)))))</f>
        <v>0.2</v>
      </c>
      <c r="AA141" s="32">
        <f>IF(Table_BDD[[#This Row],[Position]]="",AA140,Table_BDD[[#This Row],[Equité après trade]]-Table_BDD[[#This Row],[Profit]]-Table_BDD[[#This Row],[Echange]])</f>
        <v>795.82</v>
      </c>
      <c r="AB141" s="149">
        <f>$B$1+SUM($L$4:M141)</f>
        <v>796.56000000000006</v>
      </c>
      <c r="AC141" s="150">
        <f>IF(Table_BDD[[#This Row],[Position]]="","",_xlfn.MINIFS(Table_BDD[Horodatage ouverture],Table_BDD[Date],Table_BDD[Date]))</f>
        <v>43875.390983796293</v>
      </c>
      <c r="AD141" s="149">
        <f>VLOOKUP(_xlfn.MINIFS(Table_BDD[Horodatage ouverture],Table_BDD[Date],Table_BDD[Date]),Table_BDD[[Horodatage ouverture]:[Heure derniere valeur]],AA$2)</f>
        <v>867.85</v>
      </c>
      <c r="AE141" s="149">
        <f>IF(VLOOKUP(_xlfn.MINIFS(Table_BDD[Horodatage ouverture],Table_BDD[Date],Table_BDD[Date]),Table_BDD[[Horodatage ouverture]:[Heure derniere valeur]],AA$2)=Table_BDD[[#This Row],[Equité avant trade]],VLOOKUP(_xlfn.MINIFS(Table_BDD[Horodatage ouverture],Table_BDD[Date],Table_BDD[Date]),Table_BDD[[Horodatage ouverture]:[Heure derniere valeur]],AA$2),0)</f>
        <v>0</v>
      </c>
      <c r="AF141" s="150">
        <f>IF(Table_BDD[[#This Row],[Position]]="","",_xlfn.MAXIFS(Table_BDD[Horodatage ouverture],Table_BDD[Date],Table_BDD[Date]))</f>
        <v>43875.829016203701</v>
      </c>
      <c r="AG141" s="32">
        <f>VLOOKUP(_xlfn.MAXIFS(Table_BDD[Horodatage cloture],Table_BDD[Date],Table_BDD[Date]),Table_BDD[[Horodatage ouverture]:[Heure derniere valeur]],AB$2)</f>
        <v>775.01</v>
      </c>
      <c r="AH141" s="32">
        <f>IF(VLOOKUP(_xlfn.MAXIFS(Table_BDD[Horodatage cloture],Table_BDD[Date],Table_BDD[Date]),Table_BDD[[Horodatage ouverture]:[Heure derniere valeur]],AB$2)=Table_BDD[[#This Row],[Equité après trade]],VLOOKUP(_xlfn.MAXIFS(Table_BDD[Horodatage cloture],Table_BDD[Date],Table_BDD[Date]),Table_BDD[[Horodatage ouverture]:[Heure derniere valeur]],AB$2),0)</f>
        <v>0</v>
      </c>
      <c r="AI141" s="32" t="e">
        <f>IF(Table_BDD[[#This Row],[Valeur fin de journée unique]]=0,#N/A,Table_BDD[[#This Row],[Valeur fin de journée unique]])</f>
        <v>#N/A</v>
      </c>
      <c r="AJ141" s="35">
        <f>IF(Table_BDD[[#This Row],[Position]]="","",(Table_BDD[[#This Row],[Equité après trade]]-Table_BDD[[#This Row],[Equité avant trade]])/Table_BDD[[#This Row],[Equité avant trade]])</f>
        <v>9.2985851071851553E-4</v>
      </c>
      <c r="AK141" s="35" t="str">
        <f>IFERROR(((INDEX(Table_BDD[[Trade n°]:[Valeur fin de journée unique]],Table_BDD[[#This Row],[Nb de trade du jour]]+Table_BDD[[#This Row],[Trade n°]]-1,21))-Table_BDD[[#This Row],[Valeur début de journée unique]])/Table_BDD[[#This Row],[Valeur début de journée unique]],"")</f>
        <v/>
      </c>
      <c r="AL141" s="32">
        <f>IF(Table_BDD[[#This Row],[Position]]="","",MAX(Table_BDD[[#This Row],[Cumul équité]],AL140))</f>
        <v>1052.8399999999999</v>
      </c>
      <c r="AM141" s="32">
        <f>IF(Table_BDD[[#This Row],[Position]]="","",MIN(Table_BDD[[#This Row],[Cumul équité]],AL140))</f>
        <v>796.56000000000006</v>
      </c>
      <c r="AN141" s="97">
        <f>IF(Table_BDD[[#This Row],[Sommet Drawdown]]&gt;AL140,"",Table_BDD[[#This Row],[Creux Drawdown]]/Table_BDD[[#This Row],[Sommet Drawdown]]-1)</f>
        <v>-0.24341780327495144</v>
      </c>
      <c r="AO141" s="36">
        <f>IF(Table_BDD[[#This Row],[Position]]="","",IF(Table_BDD[[#This Row],[Type]]="buy",ROUND(Table_BDD[[#This Row],[Lvl Sortie]]-Table_BDD[[#This Row],[Lvl Entrée]],1),ROUND(Table_BDD[[#This Row],[Lvl Entrée]]-Table_BDD[[#This Row],[Lvl Sortie]],1)))</f>
        <v>1.8</v>
      </c>
      <c r="AP141" s="36">
        <f>IF(Table_BDD[[#This Row],[Points]]&gt;0,Table_BDD[[#This Row],[Points]],"")</f>
        <v>1.8</v>
      </c>
      <c r="AQ141" s="36" t="str">
        <f>IF(Table_BDD[[#This Row],[Points]]&lt;0,Table_BDD[[#This Row],[Points]],"")</f>
        <v/>
      </c>
      <c r="AR141" s="36">
        <f>SUM($AO$4:AO141)</f>
        <v>-445.40000000000015</v>
      </c>
      <c r="AS141" s="68">
        <f>IF(Table_BDD[[#This Row],[Position]]="","",IF(Table_BDD[[#This Row],[Conformité]]="Conforme",1,0))</f>
        <v>0</v>
      </c>
      <c r="AT141" s="68">
        <f>IF(Table_BDD[[#This Row],[Position]]="","",IF(Table_BDD[[#This Row],[Conformité]]="Non conforme",1,0))</f>
        <v>1</v>
      </c>
      <c r="AU141" s="37" t="s">
        <v>17</v>
      </c>
      <c r="AV141" s="37"/>
      <c r="AW141" s="37"/>
      <c r="AX141" s="37">
        <v>0</v>
      </c>
      <c r="AY141" s="37">
        <v>0</v>
      </c>
      <c r="AZ141" s="37">
        <v>0</v>
      </c>
      <c r="BA141" s="40" t="str">
        <f>IF(Table_BDD[[#This Row],[Position]]="","Sans objet",IF(AND(Table_BDD[[#This Row],[Type]]="sell",Table_BDD[[#This Row],[S / L]]&lt;Table_BDD[[#This Row],[Lvl Entrée]],Table_BDD[[#This Row],[Lvl Sortie]]&lt;=Table_BDD[[#This Row],[S / L]]+2,Table_BDD[[#This Row],[Lvl Sortie]]&lt;Table_BDD[[#This Row],[Lvl Entrée]]-19),"Oui",IF(AND(Table_BDD[[#This Row],[Type]]="buy",Table_BDD[[#This Row],[S / L]]&gt;Table_BDD[[#This Row],[Lvl Entrée]],Table_BDD[[#This Row],[Lvl Sortie]]&gt;=Table_BDD[[#This Row],[S / L]]-2,Table_BDD[[#This Row],[S / L]]&gt;Table_BDD[[#This Row],[Lvl Entrée]]+19),"Oui","Non")))</f>
        <v>Non</v>
      </c>
      <c r="BB141" s="40" t="str">
        <f>IF(Table_BDD[[#This Row],[Position]]="","Sans objet",IF(AND(Table_BDD[[#This Row],[Type]]="sell",Table_BDD[[#This Row],[S / L]]&lt;Table_BDD[[#This Row],[Lvl Entrée]],Table_BDD[[#This Row],[Points]]&gt;=-1),"Oui",IF(AND(Table_BDD[[#This Row],[Type]]="sell",Table_BDD[[#This Row],[S / L]]&gt;Table_BDD[[#This Row],[Lvl Entrée]]),"Non",IF(AND(Table_BDD[[#This Row],[Type]]="buy",Table_BDD[[#This Row],[S / L]]&lt;Table_BDD[[#This Row],[Lvl Entrée]]),"Non",IF(AND(Table_BDD[[#This Row],[Type]]="buy",Table_BDD[[#This Row],[S / L]]&gt;Table_BDD[[#This Row],[Lvl Entrée]],Table_BDD[[#This Row],[Points]]&gt;=-1),"Oui")))))</f>
        <v>Non</v>
      </c>
      <c r="BC141" s="40" t="str">
        <f>IF(Table_BDD[[#This Row],[Position]]="","Sans objet",IF(Table_BDD[[#This Row],[T / P]]="","Non",IF(AND(Table_BDD[[#This Row],[Type]]="sell",Table_BDD[[#This Row],[Lvl Sortie]]&lt;=Table_BDD[[#This Row],[T / P]]),"Oui",IF(AND(Table_BDD[[#This Row],[Type]]="buy",Table_BDD[[#This Row],[Lvl Sortie]]&gt;=Table_BDD[[#This Row],[T / P]]),"Oui","Non"))))</f>
        <v>Non</v>
      </c>
      <c r="BD141" s="91">
        <f t="array" ref="BD141">IFERROR(INDEX(downloadFile[#All],MATCH(Table_BDD[[#This Row],[Date]],downloadFile[[#All],[Column1]],0),2),BD140)</f>
        <v>1.0842000000000001</v>
      </c>
      <c r="BE141" s="89">
        <f>IF(Table_BDD[[#This Row],[Position]]="","",IF(Table_BDD[[#This Row],[Symbole]]="UsaInd",(Table_BDD[[#This Row],[Volume]]*Table_BDD[[#This Row],[Lvl Entrée]])/(Table_BDD[[#This Row],[Equité avant trade]]*Table_BDD[[#This Row],[EUR/USD]]),IF(Table_BDD[[#This Row],[Symbole]]="Ger30",(Table_BDD[[#This Row],[Volume]]*Table_BDD[[#This Row],[Lvl Entrée]])/Table_BDD[[#This Row],[Equité avant trade]],)))</f>
        <v>15.325835306298874</v>
      </c>
      <c r="BF141" s="38">
        <f>IF(Table_BDD[[#This Row],[Position]]="","",IF(Table_BDD[[#This Row],[Conformité]]="Non conforme",0,(MROUND(3*((Table_BDD[[#This Row],[Conviction]]+Table_BDD[[#This Row],[Timing]]+Table_BDD[[#This Row],[Sortie]])+1)-2,1))))</f>
        <v>0</v>
      </c>
      <c r="BG141" s="38" t="str">
        <f>IF(Table_BDD[[#This Row],[Position]]="","",IF(Table_BDD[[#This Row],[Points]]&lt;-5,"--",IF(AND(Table_BDD[[#This Row],[Points]]&gt;=-5,Table_BDD[[#This Row],[Points]]&lt;-1.5),"-",IF(AND(Table_BDD[[#This Row],[Points]]&gt;=-1.5,Table_BDD[[#This Row],[Points]]&lt;1.5),"0",IF(AND(Table_BDD[[#This Row],[Points]]&gt;=1.5,Table_BDD[[#This Row],[Points]]&lt;=70),"+",IF(Table_BDD[[#This Row],[Points]]&gt;70,"++"))))))</f>
        <v>+</v>
      </c>
      <c r="BH141" s="37" t="str">
        <f>IF(Table_BDD[[#This Row],[Position]]="","",IF(Table_BDD[[#This Row],[Points]]&gt;0,"Gagnant",IF(Table_BDD[[#This Row],[Points]]=0,"Flat","Perdant")))</f>
        <v>Gagnant</v>
      </c>
      <c r="BI141" s="40">
        <f>IF(Table_BDD[[#This Row],[Position]]="","",IF(Table_BDD[[#This Row],[Résultat]]="Gagnant",1,0))</f>
        <v>1</v>
      </c>
      <c r="BJ141" s="40">
        <f>IF(Table_BDD[[#This Row],[Position]]="","",IF(Table_BDD[[#This Row],[Résultat]]="Perdant",1,0))</f>
        <v>0</v>
      </c>
      <c r="BK141" s="40"/>
      <c r="BL141" s="145" t="str">
        <f>IF(Table_BDD[[#This Row],[T / P]]="","",Table_BDD[[#This Row],[T / P]])</f>
        <v/>
      </c>
      <c r="BM141" s="147"/>
      <c r="BN141" s="147"/>
      <c r="BO141" s="147"/>
      <c r="BP141" s="147"/>
      <c r="BQ141" s="127"/>
    </row>
    <row r="142" spans="1:69" x14ac:dyDescent="0.2">
      <c r="A142" s="93">
        <v>43875.774872685186</v>
      </c>
      <c r="B142" s="94">
        <v>259999343</v>
      </c>
      <c r="C142" s="37" t="s">
        <v>8</v>
      </c>
      <c r="D142" s="37" t="s">
        <v>9</v>
      </c>
      <c r="E142" s="37">
        <v>0.45</v>
      </c>
      <c r="F142" s="95">
        <v>29383.91</v>
      </c>
      <c r="G142" s="95">
        <v>29373.91</v>
      </c>
      <c r="H142" s="95">
        <v>29583.91</v>
      </c>
      <c r="I142" s="93">
        <v>43875.780590277776</v>
      </c>
      <c r="J142" s="95">
        <v>29373.58</v>
      </c>
      <c r="K142" s="95">
        <v>0</v>
      </c>
      <c r="L142" s="95">
        <v>0</v>
      </c>
      <c r="M142" s="32">
        <v>-4.29</v>
      </c>
      <c r="N142" s="148">
        <f>IF(Table_BDD[[#This Row],[Position]]="","",ROW()-3)</f>
        <v>139</v>
      </c>
      <c r="O142" s="32">
        <f>SUM($L$4:M142)</f>
        <v>-207.72999999999996</v>
      </c>
      <c r="P142" s="32">
        <f>Table_BDD[[#This Row],[Equité avant trade]]+Table_BDD[[#This Row],[Profit]]+Table_BDD[[#This Row],[Echange]]</f>
        <v>792.27</v>
      </c>
      <c r="Q142" s="52">
        <f>INT(Table_BDD[[#This Row],[Horodatage cloture]])</f>
        <v>43875</v>
      </c>
      <c r="R142" s="34">
        <f>WEEKNUM(Table_BDD[[#This Row],[Horodatage cloture]],2)</f>
        <v>7</v>
      </c>
      <c r="S142" s="61">
        <f>WEEKDAY(Table_BDD[[#This Row],[Horodatage cloture]])</f>
        <v>6</v>
      </c>
      <c r="T142" s="63">
        <f>HOUR(Table_BDD[[#This Row],[Horodatage cloture]])</f>
        <v>18</v>
      </c>
      <c r="U142" s="68">
        <f>IF(Table_BDD[[#This Row],[Position]]="","",IF(Table_BDD[[#This Row],[Valeur début de journée unique]]&lt;&gt;0,1,0))</f>
        <v>0</v>
      </c>
      <c r="V142" s="68" t="str">
        <f>IF(Table_BDD[[#This Row],[Nb de séance de trading]]=1,COUNTIF(Table_BDD[Date],Table_BDD[[#This Row],[Date]]),"")</f>
        <v/>
      </c>
      <c r="W142" s="33">
        <f>IF(Table_BDD[[#This Row],[Position]]="","",IF(Table_BDD[[#This Row],[Type]]="buy",ROUND(Table_BDD[[#This Row],[Lvl Entrée]]-Table_BDD[[#This Row],[S / L]],1),ROUND(Table_BDD[[#This Row],[S / L]]-Table_BDD[[#This Row],[Lvl Entrée]],1)))</f>
        <v>10</v>
      </c>
      <c r="X142" s="33">
        <f>IF(Table_BDD[[#This Row],[Position]]="","",IF(Table_BDD[[#This Row],[T / P]]=0,200,IF(Table_BDD[[#This Row],[Type]]="buy",ROUND(Table_BDD[[#This Row],[T / P]]-Table_BDD[[#This Row],[Lvl Entrée]],1),ROUND(Table_BDD[[#This Row],[Lvl Entrée]]-Table_BDD[[#This Row],[T / P]],1))))</f>
        <v>200</v>
      </c>
      <c r="Y142" s="34">
        <f>IF(Table_BDD[[#This Row],[Position]]="","",IF(Table_BDD[[#This Row],[Ecart du SL]]&gt;0,ROUND(ABS(Table_BDD[[#This Row],[Ecart du TP]])/ABS(Table_BDD[[#This Row],[Ecart du SL]]),1),ROUND(ABS(Table_BDD[[#This Row],[Ecart du TP]])/10,1)))</f>
        <v>20</v>
      </c>
      <c r="Z142" s="34">
        <f>IF(Table_BDD[[#This Row],[Position]]="","",IF(Table_BDD[[#This Row],[Ecart du SL]]&lt;0,IF(AND(Table_BDD[[#This Row],[Profit]]&gt;0,Table_BDD[[#This Row],[Type]]="sell"),ROUND((Table_BDD[[#This Row],[Lvl Entrée]]-Table_BDD[[#This Row],[Lvl Sortie]])/(10),1),IF(AND(Table_BDD[[#This Row],[Profit]]&gt;0,Table_BDD[[#This Row],[Type]]="buy"),ROUND((Table_BDD[[#This Row],[Lvl Sortie]]-Table_BDD[[#This Row],[Lvl Entrée]])/(10),1),)),IF(AND(Table_BDD[[#This Row],[Profit]]&gt;0,Table_BDD[[#This Row],[Type]]="sell"),ROUND((Table_BDD[[#This Row],[Lvl Entrée]]-Table_BDD[[#This Row],[Lvl Sortie]])/(Table_BDD[[#This Row],[S / L]]-Table_BDD[[#This Row],[Lvl Entrée]]),1),IF(AND(Table_BDD[[#This Row],[Profit]]&gt;0,Table_BDD[[#This Row],[Type]]="buy"),ROUND((Table_BDD[[#This Row],[Lvl Sortie]]-Table_BDD[[#This Row],[Lvl Entrée]])/(Table_BDD[[#This Row],[Lvl Entrée]]-Table_BDD[[#This Row],[S / L]]),1),ROUND(Table_BDD[[#This Row],[Points]]/10,1)))))</f>
        <v>-1</v>
      </c>
      <c r="AA142" s="32">
        <f>IF(Table_BDD[[#This Row],[Position]]="",AA141,Table_BDD[[#This Row],[Equité après trade]]-Table_BDD[[#This Row],[Profit]]-Table_BDD[[#This Row],[Echange]])</f>
        <v>796.56</v>
      </c>
      <c r="AB142" s="149">
        <f>$B$1+SUM($L$4:M142)</f>
        <v>792.27</v>
      </c>
      <c r="AC142" s="150">
        <f>IF(Table_BDD[[#This Row],[Position]]="","",_xlfn.MINIFS(Table_BDD[Horodatage ouverture],Table_BDD[Date],Table_BDD[Date]))</f>
        <v>43875.390983796293</v>
      </c>
      <c r="AD142" s="149">
        <f>VLOOKUP(_xlfn.MINIFS(Table_BDD[Horodatage ouverture],Table_BDD[Date],Table_BDD[Date]),Table_BDD[[Horodatage ouverture]:[Heure derniere valeur]],AA$2)</f>
        <v>867.85</v>
      </c>
      <c r="AE142" s="149">
        <f>IF(VLOOKUP(_xlfn.MINIFS(Table_BDD[Horodatage ouverture],Table_BDD[Date],Table_BDD[Date]),Table_BDD[[Horodatage ouverture]:[Heure derniere valeur]],AA$2)=Table_BDD[[#This Row],[Equité avant trade]],VLOOKUP(_xlfn.MINIFS(Table_BDD[Horodatage ouverture],Table_BDD[Date],Table_BDD[Date]),Table_BDD[[Horodatage ouverture]:[Heure derniere valeur]],AA$2),0)</f>
        <v>0</v>
      </c>
      <c r="AF142" s="150">
        <f>IF(Table_BDD[[#This Row],[Position]]="","",_xlfn.MAXIFS(Table_BDD[Horodatage ouverture],Table_BDD[Date],Table_BDD[Date]))</f>
        <v>43875.829016203701</v>
      </c>
      <c r="AG142" s="32">
        <f>VLOOKUP(_xlfn.MAXIFS(Table_BDD[Horodatage cloture],Table_BDD[Date],Table_BDD[Date]),Table_BDD[[Horodatage ouverture]:[Heure derniere valeur]],AB$2)</f>
        <v>775.01</v>
      </c>
      <c r="AH142" s="32">
        <f>IF(VLOOKUP(_xlfn.MAXIFS(Table_BDD[Horodatage cloture],Table_BDD[Date],Table_BDD[Date]),Table_BDD[[Horodatage ouverture]:[Heure derniere valeur]],AB$2)=Table_BDD[[#This Row],[Equité après trade]],VLOOKUP(_xlfn.MAXIFS(Table_BDD[Horodatage cloture],Table_BDD[Date],Table_BDD[Date]),Table_BDD[[Horodatage ouverture]:[Heure derniere valeur]],AB$2),0)</f>
        <v>0</v>
      </c>
      <c r="AI142" s="32" t="e">
        <f>IF(Table_BDD[[#This Row],[Valeur fin de journée unique]]=0,#N/A,Table_BDD[[#This Row],[Valeur fin de journée unique]])</f>
        <v>#N/A</v>
      </c>
      <c r="AJ142" s="35">
        <f>IF(Table_BDD[[#This Row],[Position]]="","",(Table_BDD[[#This Row],[Equité après trade]]-Table_BDD[[#This Row],[Equité avant trade]])/Table_BDD[[#This Row],[Equité avant trade]])</f>
        <v>-5.3856583308224916E-3</v>
      </c>
      <c r="AK142" s="35" t="str">
        <f>IFERROR(((INDEX(Table_BDD[[Trade n°]:[Valeur fin de journée unique]],Table_BDD[[#This Row],[Nb de trade du jour]]+Table_BDD[[#This Row],[Trade n°]]-1,21))-Table_BDD[[#This Row],[Valeur début de journée unique]])/Table_BDD[[#This Row],[Valeur début de journée unique]],"")</f>
        <v/>
      </c>
      <c r="AL142" s="32">
        <f>IF(Table_BDD[[#This Row],[Position]]="","",MAX(Table_BDD[[#This Row],[Cumul équité]],AL141))</f>
        <v>1052.8399999999999</v>
      </c>
      <c r="AM142" s="32">
        <f>IF(Table_BDD[[#This Row],[Position]]="","",MIN(Table_BDD[[#This Row],[Cumul équité]],AL141))</f>
        <v>792.27</v>
      </c>
      <c r="AN142" s="97">
        <f>IF(Table_BDD[[#This Row],[Sommet Drawdown]]&gt;AL141,"",Table_BDD[[#This Row],[Creux Drawdown]]/Table_BDD[[#This Row],[Sommet Drawdown]]-1)</f>
        <v>-0.24749249648569582</v>
      </c>
      <c r="AO142" s="36">
        <f>IF(Table_BDD[[#This Row],[Position]]="","",IF(Table_BDD[[#This Row],[Type]]="buy",ROUND(Table_BDD[[#This Row],[Lvl Sortie]]-Table_BDD[[#This Row],[Lvl Entrée]],1),ROUND(Table_BDD[[#This Row],[Lvl Entrée]]-Table_BDD[[#This Row],[Lvl Sortie]],1)))</f>
        <v>-10.3</v>
      </c>
      <c r="AP142" s="36" t="str">
        <f>IF(Table_BDD[[#This Row],[Points]]&gt;0,Table_BDD[[#This Row],[Points]],"")</f>
        <v/>
      </c>
      <c r="AQ142" s="36">
        <f>IF(Table_BDD[[#This Row],[Points]]&lt;0,Table_BDD[[#This Row],[Points]],"")</f>
        <v>-10.3</v>
      </c>
      <c r="AR142" s="36">
        <f>SUM($AO$4:AO142)</f>
        <v>-455.70000000000016</v>
      </c>
      <c r="AS142" s="68">
        <f>IF(Table_BDD[[#This Row],[Position]]="","",IF(Table_BDD[[#This Row],[Conformité]]="Conforme",1,0))</f>
        <v>0</v>
      </c>
      <c r="AT142" s="68">
        <f>IF(Table_BDD[[#This Row],[Position]]="","",IF(Table_BDD[[#This Row],[Conformité]]="Non conforme",1,0))</f>
        <v>1</v>
      </c>
      <c r="AU142" s="37" t="s">
        <v>17</v>
      </c>
      <c r="AV142" s="37"/>
      <c r="AW142" s="37"/>
      <c r="AX142" s="37">
        <v>0</v>
      </c>
      <c r="AY142" s="37">
        <v>0</v>
      </c>
      <c r="AZ142" s="37">
        <v>0</v>
      </c>
      <c r="BA142" s="40" t="str">
        <f>IF(Table_BDD[[#This Row],[Position]]="","Sans objet",IF(AND(Table_BDD[[#This Row],[Type]]="sell",Table_BDD[[#This Row],[S / L]]&lt;Table_BDD[[#This Row],[Lvl Entrée]],Table_BDD[[#This Row],[Lvl Sortie]]&lt;=Table_BDD[[#This Row],[S / L]]+2,Table_BDD[[#This Row],[Lvl Sortie]]&lt;Table_BDD[[#This Row],[Lvl Entrée]]-19),"Oui",IF(AND(Table_BDD[[#This Row],[Type]]="buy",Table_BDD[[#This Row],[S / L]]&gt;Table_BDD[[#This Row],[Lvl Entrée]],Table_BDD[[#This Row],[Lvl Sortie]]&gt;=Table_BDD[[#This Row],[S / L]]-2,Table_BDD[[#This Row],[S / L]]&gt;Table_BDD[[#This Row],[Lvl Entrée]]+19),"Oui","Non")))</f>
        <v>Non</v>
      </c>
      <c r="BB142" s="40" t="str">
        <f>IF(Table_BDD[[#This Row],[Position]]="","Sans objet",IF(AND(Table_BDD[[#This Row],[Type]]="sell",Table_BDD[[#This Row],[S / L]]&lt;Table_BDD[[#This Row],[Lvl Entrée]],Table_BDD[[#This Row],[Points]]&gt;=-1),"Oui",IF(AND(Table_BDD[[#This Row],[Type]]="sell",Table_BDD[[#This Row],[S / L]]&gt;Table_BDD[[#This Row],[Lvl Entrée]]),"Non",IF(AND(Table_BDD[[#This Row],[Type]]="buy",Table_BDD[[#This Row],[S / L]]&lt;Table_BDD[[#This Row],[Lvl Entrée]]),"Non",IF(AND(Table_BDD[[#This Row],[Type]]="buy",Table_BDD[[#This Row],[S / L]]&gt;Table_BDD[[#This Row],[Lvl Entrée]],Table_BDD[[#This Row],[Points]]&gt;=-1),"Oui")))))</f>
        <v>Non</v>
      </c>
      <c r="BC142" s="40" t="str">
        <f>IF(Table_BDD[[#This Row],[Position]]="","Sans objet",IF(Table_BDD[[#This Row],[T / P]]="","Non",IF(AND(Table_BDD[[#This Row],[Type]]="sell",Table_BDD[[#This Row],[Lvl Sortie]]&lt;=Table_BDD[[#This Row],[T / P]]),"Oui",IF(AND(Table_BDD[[#This Row],[Type]]="buy",Table_BDD[[#This Row],[Lvl Sortie]]&gt;=Table_BDD[[#This Row],[T / P]]),"Oui","Non"))))</f>
        <v>Non</v>
      </c>
      <c r="BD142" s="91">
        <f t="array" ref="BD142">IFERROR(INDEX(downloadFile[#All],MATCH(Table_BDD[[#This Row],[Date]],downloadFile[[#All],[Column1]],0),2),BD141)</f>
        <v>1.0842000000000001</v>
      </c>
      <c r="BE142" s="89">
        <f>IF(Table_BDD[[#This Row],[Position]]="","",IF(Table_BDD[[#This Row],[Symbole]]="UsaInd",(Table_BDD[[#This Row],[Volume]]*Table_BDD[[#This Row],[Lvl Entrée]])/(Table_BDD[[#This Row],[Equité avant trade]]*Table_BDD[[#This Row],[EUR/USD]]),IF(Table_BDD[[#This Row],[Symbole]]="Ger30",(Table_BDD[[#This Row],[Volume]]*Table_BDD[[#This Row],[Lvl Entrée]])/Table_BDD[[#This Row],[Equité avant trade]],)))</f>
        <v>15.310670206736782</v>
      </c>
      <c r="BF142" s="38">
        <f>IF(Table_BDD[[#This Row],[Position]]="","",IF(Table_BDD[[#This Row],[Conformité]]="Non conforme",0,(MROUND(3*((Table_BDD[[#This Row],[Conviction]]+Table_BDD[[#This Row],[Timing]]+Table_BDD[[#This Row],[Sortie]])+1)-2,1))))</f>
        <v>0</v>
      </c>
      <c r="BG142" s="38" t="str">
        <f>IF(Table_BDD[[#This Row],[Position]]="","",IF(Table_BDD[[#This Row],[Points]]&lt;-5,"--",IF(AND(Table_BDD[[#This Row],[Points]]&gt;=-5,Table_BDD[[#This Row],[Points]]&lt;-1.5),"-",IF(AND(Table_BDD[[#This Row],[Points]]&gt;=-1.5,Table_BDD[[#This Row],[Points]]&lt;1.5),"0",IF(AND(Table_BDD[[#This Row],[Points]]&gt;=1.5,Table_BDD[[#This Row],[Points]]&lt;=70),"+",IF(Table_BDD[[#This Row],[Points]]&gt;70,"++"))))))</f>
        <v>--</v>
      </c>
      <c r="BH142" s="37" t="str">
        <f>IF(Table_BDD[[#This Row],[Position]]="","",IF(Table_BDD[[#This Row],[Points]]&gt;0,"Gagnant",IF(Table_BDD[[#This Row],[Points]]=0,"Flat","Perdant")))</f>
        <v>Perdant</v>
      </c>
      <c r="BI142" s="40">
        <f>IF(Table_BDD[[#This Row],[Position]]="","",IF(Table_BDD[[#This Row],[Résultat]]="Gagnant",1,0))</f>
        <v>0</v>
      </c>
      <c r="BJ142" s="40">
        <f>IF(Table_BDD[[#This Row],[Position]]="","",IF(Table_BDD[[#This Row],[Résultat]]="Perdant",1,0))</f>
        <v>1</v>
      </c>
      <c r="BK142" s="40"/>
      <c r="BL142" s="145">
        <f>IF(Table_BDD[[#This Row],[T / P]]="","",Table_BDD[[#This Row],[T / P]])</f>
        <v>29583.91</v>
      </c>
      <c r="BM142" s="147"/>
      <c r="BN142" s="147"/>
      <c r="BO142" s="147"/>
      <c r="BP142" s="147"/>
      <c r="BQ142" s="127"/>
    </row>
    <row r="143" spans="1:69" x14ac:dyDescent="0.2">
      <c r="A143" s="93">
        <v>43875.780624999999</v>
      </c>
      <c r="B143" s="94">
        <v>259999736</v>
      </c>
      <c r="C143" s="37" t="s">
        <v>8</v>
      </c>
      <c r="D143" s="37" t="s">
        <v>9</v>
      </c>
      <c r="E143" s="37">
        <v>0.45</v>
      </c>
      <c r="F143" s="95">
        <v>29373.83</v>
      </c>
      <c r="G143" s="95">
        <v>29363.83</v>
      </c>
      <c r="H143" s="95">
        <v>29583.83</v>
      </c>
      <c r="I143" s="93">
        <v>43875.783750000002</v>
      </c>
      <c r="J143" s="95">
        <v>29362.73</v>
      </c>
      <c r="K143" s="95">
        <v>0</v>
      </c>
      <c r="L143" s="95">
        <v>0</v>
      </c>
      <c r="M143" s="32">
        <v>-4.6100000000000003</v>
      </c>
      <c r="N143" s="148">
        <f>IF(Table_BDD[[#This Row],[Position]]="","",ROW()-3)</f>
        <v>140</v>
      </c>
      <c r="O143" s="32">
        <f>SUM($L$4:M143)</f>
        <v>-212.33999999999997</v>
      </c>
      <c r="P143" s="32">
        <f>Table_BDD[[#This Row],[Equité avant trade]]+Table_BDD[[#This Row],[Profit]]+Table_BDD[[#This Row],[Echange]]</f>
        <v>787.66000000000008</v>
      </c>
      <c r="Q143" s="52">
        <f>INT(Table_BDD[[#This Row],[Horodatage cloture]])</f>
        <v>43875</v>
      </c>
      <c r="R143" s="34">
        <f>WEEKNUM(Table_BDD[[#This Row],[Horodatage cloture]],2)</f>
        <v>7</v>
      </c>
      <c r="S143" s="61">
        <f>WEEKDAY(Table_BDD[[#This Row],[Horodatage cloture]])</f>
        <v>6</v>
      </c>
      <c r="T143" s="63">
        <f>HOUR(Table_BDD[[#This Row],[Horodatage cloture]])</f>
        <v>18</v>
      </c>
      <c r="U143" s="68">
        <f>IF(Table_BDD[[#This Row],[Position]]="","",IF(Table_BDD[[#This Row],[Valeur début de journée unique]]&lt;&gt;0,1,0))</f>
        <v>0</v>
      </c>
      <c r="V143" s="68" t="str">
        <f>IF(Table_BDD[[#This Row],[Nb de séance de trading]]=1,COUNTIF(Table_BDD[Date],Table_BDD[[#This Row],[Date]]),"")</f>
        <v/>
      </c>
      <c r="W143" s="33">
        <f>IF(Table_BDD[[#This Row],[Position]]="","",IF(Table_BDD[[#This Row],[Type]]="buy",ROUND(Table_BDD[[#This Row],[Lvl Entrée]]-Table_BDD[[#This Row],[S / L]],1),ROUND(Table_BDD[[#This Row],[S / L]]-Table_BDD[[#This Row],[Lvl Entrée]],1)))</f>
        <v>10</v>
      </c>
      <c r="X143" s="33">
        <f>IF(Table_BDD[[#This Row],[Position]]="","",IF(Table_BDD[[#This Row],[T / P]]=0,200,IF(Table_BDD[[#This Row],[Type]]="buy",ROUND(Table_BDD[[#This Row],[T / P]]-Table_BDD[[#This Row],[Lvl Entrée]],1),ROUND(Table_BDD[[#This Row],[Lvl Entrée]]-Table_BDD[[#This Row],[T / P]],1))))</f>
        <v>210</v>
      </c>
      <c r="Y143" s="34">
        <f>IF(Table_BDD[[#This Row],[Position]]="","",IF(Table_BDD[[#This Row],[Ecart du SL]]&gt;0,ROUND(ABS(Table_BDD[[#This Row],[Ecart du TP]])/ABS(Table_BDD[[#This Row],[Ecart du SL]]),1),ROUND(ABS(Table_BDD[[#This Row],[Ecart du TP]])/10,1)))</f>
        <v>21</v>
      </c>
      <c r="Z143" s="34">
        <f>IF(Table_BDD[[#This Row],[Position]]="","",IF(Table_BDD[[#This Row],[Ecart du SL]]&lt;0,IF(AND(Table_BDD[[#This Row],[Profit]]&gt;0,Table_BDD[[#This Row],[Type]]="sell"),ROUND((Table_BDD[[#This Row],[Lvl Entrée]]-Table_BDD[[#This Row],[Lvl Sortie]])/(10),1),IF(AND(Table_BDD[[#This Row],[Profit]]&gt;0,Table_BDD[[#This Row],[Type]]="buy"),ROUND((Table_BDD[[#This Row],[Lvl Sortie]]-Table_BDD[[#This Row],[Lvl Entrée]])/(10),1),)),IF(AND(Table_BDD[[#This Row],[Profit]]&gt;0,Table_BDD[[#This Row],[Type]]="sell"),ROUND((Table_BDD[[#This Row],[Lvl Entrée]]-Table_BDD[[#This Row],[Lvl Sortie]])/(Table_BDD[[#This Row],[S / L]]-Table_BDD[[#This Row],[Lvl Entrée]]),1),IF(AND(Table_BDD[[#This Row],[Profit]]&gt;0,Table_BDD[[#This Row],[Type]]="buy"),ROUND((Table_BDD[[#This Row],[Lvl Sortie]]-Table_BDD[[#This Row],[Lvl Entrée]])/(Table_BDD[[#This Row],[Lvl Entrée]]-Table_BDD[[#This Row],[S / L]]),1),ROUND(Table_BDD[[#This Row],[Points]]/10,1)))))</f>
        <v>-1.1000000000000001</v>
      </c>
      <c r="AA143" s="32">
        <f>IF(Table_BDD[[#This Row],[Position]]="",AA142,Table_BDD[[#This Row],[Equité après trade]]-Table_BDD[[#This Row],[Profit]]-Table_BDD[[#This Row],[Echange]])</f>
        <v>792.2700000000001</v>
      </c>
      <c r="AB143" s="149">
        <f>$B$1+SUM($L$4:M143)</f>
        <v>787.66000000000008</v>
      </c>
      <c r="AC143" s="150">
        <f>IF(Table_BDD[[#This Row],[Position]]="","",_xlfn.MINIFS(Table_BDD[Horodatage ouverture],Table_BDD[Date],Table_BDD[Date]))</f>
        <v>43875.390983796293</v>
      </c>
      <c r="AD143" s="149">
        <f>VLOOKUP(_xlfn.MINIFS(Table_BDD[Horodatage ouverture],Table_BDD[Date],Table_BDD[Date]),Table_BDD[[Horodatage ouverture]:[Heure derniere valeur]],AA$2)</f>
        <v>867.85</v>
      </c>
      <c r="AE143" s="149">
        <f>IF(VLOOKUP(_xlfn.MINIFS(Table_BDD[Horodatage ouverture],Table_BDD[Date],Table_BDD[Date]),Table_BDD[[Horodatage ouverture]:[Heure derniere valeur]],AA$2)=Table_BDD[[#This Row],[Equité avant trade]],VLOOKUP(_xlfn.MINIFS(Table_BDD[Horodatage ouverture],Table_BDD[Date],Table_BDD[Date]),Table_BDD[[Horodatage ouverture]:[Heure derniere valeur]],AA$2),0)</f>
        <v>0</v>
      </c>
      <c r="AF143" s="150">
        <f>IF(Table_BDD[[#This Row],[Position]]="","",_xlfn.MAXIFS(Table_BDD[Horodatage ouverture],Table_BDD[Date],Table_BDD[Date]))</f>
        <v>43875.829016203701</v>
      </c>
      <c r="AG143" s="32">
        <f>VLOOKUP(_xlfn.MAXIFS(Table_BDD[Horodatage cloture],Table_BDD[Date],Table_BDD[Date]),Table_BDD[[Horodatage ouverture]:[Heure derniere valeur]],AB$2)</f>
        <v>775.01</v>
      </c>
      <c r="AH143" s="32">
        <f>IF(VLOOKUP(_xlfn.MAXIFS(Table_BDD[Horodatage cloture],Table_BDD[Date],Table_BDD[Date]),Table_BDD[[Horodatage ouverture]:[Heure derniere valeur]],AB$2)=Table_BDD[[#This Row],[Equité après trade]],VLOOKUP(_xlfn.MAXIFS(Table_BDD[Horodatage cloture],Table_BDD[Date],Table_BDD[Date]),Table_BDD[[Horodatage ouverture]:[Heure derniere valeur]],AB$2),0)</f>
        <v>0</v>
      </c>
      <c r="AI143" s="32" t="e">
        <f>IF(Table_BDD[[#This Row],[Valeur fin de journée unique]]=0,#N/A,Table_BDD[[#This Row],[Valeur fin de journée unique]])</f>
        <v>#N/A</v>
      </c>
      <c r="AJ143" s="35">
        <f>IF(Table_BDD[[#This Row],[Position]]="","",(Table_BDD[[#This Row],[Equité après trade]]-Table_BDD[[#This Row],[Equité avant trade]])/Table_BDD[[#This Row],[Equité avant trade]])</f>
        <v>-5.8187234149974293E-3</v>
      </c>
      <c r="AK143" s="35" t="str">
        <f>IFERROR(((INDEX(Table_BDD[[Trade n°]:[Valeur fin de journée unique]],Table_BDD[[#This Row],[Nb de trade du jour]]+Table_BDD[[#This Row],[Trade n°]]-1,21))-Table_BDD[[#This Row],[Valeur début de journée unique]])/Table_BDD[[#This Row],[Valeur début de journée unique]],"")</f>
        <v/>
      </c>
      <c r="AL143" s="32">
        <f>IF(Table_BDD[[#This Row],[Position]]="","",MAX(Table_BDD[[#This Row],[Cumul équité]],AL142))</f>
        <v>1052.8399999999999</v>
      </c>
      <c r="AM143" s="32">
        <f>IF(Table_BDD[[#This Row],[Position]]="","",MIN(Table_BDD[[#This Row],[Cumul équité]],AL142))</f>
        <v>787.66000000000008</v>
      </c>
      <c r="AN143" s="97">
        <f>IF(Table_BDD[[#This Row],[Sommet Drawdown]]&gt;AL142,"",Table_BDD[[#This Row],[Creux Drawdown]]/Table_BDD[[#This Row],[Sommet Drawdown]]-1)</f>
        <v>-0.2518711295163556</v>
      </c>
      <c r="AO143" s="36">
        <f>IF(Table_BDD[[#This Row],[Position]]="","",IF(Table_BDD[[#This Row],[Type]]="buy",ROUND(Table_BDD[[#This Row],[Lvl Sortie]]-Table_BDD[[#This Row],[Lvl Entrée]],1),ROUND(Table_BDD[[#This Row],[Lvl Entrée]]-Table_BDD[[#This Row],[Lvl Sortie]],1)))</f>
        <v>-11.1</v>
      </c>
      <c r="AP143" s="36" t="str">
        <f>IF(Table_BDD[[#This Row],[Points]]&gt;0,Table_BDD[[#This Row],[Points]],"")</f>
        <v/>
      </c>
      <c r="AQ143" s="36">
        <f>IF(Table_BDD[[#This Row],[Points]]&lt;0,Table_BDD[[#This Row],[Points]],"")</f>
        <v>-11.1</v>
      </c>
      <c r="AR143" s="36">
        <f>SUM($AO$4:AO143)</f>
        <v>-466.80000000000018</v>
      </c>
      <c r="AS143" s="68">
        <f>IF(Table_BDD[[#This Row],[Position]]="","",IF(Table_BDD[[#This Row],[Conformité]]="Conforme",1,0))</f>
        <v>0</v>
      </c>
      <c r="AT143" s="68">
        <f>IF(Table_BDD[[#This Row],[Position]]="","",IF(Table_BDD[[#This Row],[Conformité]]="Non conforme",1,0))</f>
        <v>1</v>
      </c>
      <c r="AU143" s="37" t="s">
        <v>17</v>
      </c>
      <c r="AV143" s="37"/>
      <c r="AW143" s="37"/>
      <c r="AX143" s="37">
        <v>0</v>
      </c>
      <c r="AY143" s="37">
        <v>0</v>
      </c>
      <c r="AZ143" s="37">
        <v>0</v>
      </c>
      <c r="BA143" s="40" t="str">
        <f>IF(Table_BDD[[#This Row],[Position]]="","Sans objet",IF(AND(Table_BDD[[#This Row],[Type]]="sell",Table_BDD[[#This Row],[S / L]]&lt;Table_BDD[[#This Row],[Lvl Entrée]],Table_BDD[[#This Row],[Lvl Sortie]]&lt;=Table_BDD[[#This Row],[S / L]]+2,Table_BDD[[#This Row],[Lvl Sortie]]&lt;Table_BDD[[#This Row],[Lvl Entrée]]-19),"Oui",IF(AND(Table_BDD[[#This Row],[Type]]="buy",Table_BDD[[#This Row],[S / L]]&gt;Table_BDD[[#This Row],[Lvl Entrée]],Table_BDD[[#This Row],[Lvl Sortie]]&gt;=Table_BDD[[#This Row],[S / L]]-2,Table_BDD[[#This Row],[S / L]]&gt;Table_BDD[[#This Row],[Lvl Entrée]]+19),"Oui","Non")))</f>
        <v>Non</v>
      </c>
      <c r="BB143" s="40" t="str">
        <f>IF(Table_BDD[[#This Row],[Position]]="","Sans objet",IF(AND(Table_BDD[[#This Row],[Type]]="sell",Table_BDD[[#This Row],[S / L]]&lt;Table_BDD[[#This Row],[Lvl Entrée]],Table_BDD[[#This Row],[Points]]&gt;=-1),"Oui",IF(AND(Table_BDD[[#This Row],[Type]]="sell",Table_BDD[[#This Row],[S / L]]&gt;Table_BDD[[#This Row],[Lvl Entrée]]),"Non",IF(AND(Table_BDD[[#This Row],[Type]]="buy",Table_BDD[[#This Row],[S / L]]&lt;Table_BDD[[#This Row],[Lvl Entrée]]),"Non",IF(AND(Table_BDD[[#This Row],[Type]]="buy",Table_BDD[[#This Row],[S / L]]&gt;Table_BDD[[#This Row],[Lvl Entrée]],Table_BDD[[#This Row],[Points]]&gt;=-1),"Oui")))))</f>
        <v>Non</v>
      </c>
      <c r="BC143" s="40" t="str">
        <f>IF(Table_BDD[[#This Row],[Position]]="","Sans objet",IF(Table_BDD[[#This Row],[T / P]]="","Non",IF(AND(Table_BDD[[#This Row],[Type]]="sell",Table_BDD[[#This Row],[Lvl Sortie]]&lt;=Table_BDD[[#This Row],[T / P]]),"Oui",IF(AND(Table_BDD[[#This Row],[Type]]="buy",Table_BDD[[#This Row],[Lvl Sortie]]&gt;=Table_BDD[[#This Row],[T / P]]),"Oui","Non"))))</f>
        <v>Non</v>
      </c>
      <c r="BD143" s="91">
        <f t="array" ref="BD143">IFERROR(INDEX(downloadFile[#All],MATCH(Table_BDD[[#This Row],[Date]],downloadFile[[#All],[Column1]],0),2),BD142)</f>
        <v>1.0842000000000001</v>
      </c>
      <c r="BE143" s="89">
        <f>IF(Table_BDD[[#This Row],[Position]]="","",IF(Table_BDD[[#This Row],[Symbole]]="UsaInd",(Table_BDD[[#This Row],[Volume]]*Table_BDD[[#This Row],[Lvl Entrée]])/(Table_BDD[[#This Row],[Equité avant trade]]*Table_BDD[[#This Row],[EUR/USD]]),IF(Table_BDD[[#This Row],[Symbole]]="Ger30",(Table_BDD[[#This Row],[Volume]]*Table_BDD[[#This Row],[Lvl Entrée]])/Table_BDD[[#This Row],[Equité avant trade]],)))</f>
        <v>15.388294053717956</v>
      </c>
      <c r="BF143" s="38">
        <f>IF(Table_BDD[[#This Row],[Position]]="","",IF(Table_BDD[[#This Row],[Conformité]]="Non conforme",0,(MROUND(3*((Table_BDD[[#This Row],[Conviction]]+Table_BDD[[#This Row],[Timing]]+Table_BDD[[#This Row],[Sortie]])+1)-2,1))))</f>
        <v>0</v>
      </c>
      <c r="BG143" s="38" t="str">
        <f>IF(Table_BDD[[#This Row],[Position]]="","",IF(Table_BDD[[#This Row],[Points]]&lt;-5,"--",IF(AND(Table_BDD[[#This Row],[Points]]&gt;=-5,Table_BDD[[#This Row],[Points]]&lt;-1.5),"-",IF(AND(Table_BDD[[#This Row],[Points]]&gt;=-1.5,Table_BDD[[#This Row],[Points]]&lt;1.5),"0",IF(AND(Table_BDD[[#This Row],[Points]]&gt;=1.5,Table_BDD[[#This Row],[Points]]&lt;=70),"+",IF(Table_BDD[[#This Row],[Points]]&gt;70,"++"))))))</f>
        <v>--</v>
      </c>
      <c r="BH143" s="37" t="str">
        <f>IF(Table_BDD[[#This Row],[Position]]="","",IF(Table_BDD[[#This Row],[Points]]&gt;0,"Gagnant",IF(Table_BDD[[#This Row],[Points]]=0,"Flat","Perdant")))</f>
        <v>Perdant</v>
      </c>
      <c r="BI143" s="40">
        <f>IF(Table_BDD[[#This Row],[Position]]="","",IF(Table_BDD[[#This Row],[Résultat]]="Gagnant",1,0))</f>
        <v>0</v>
      </c>
      <c r="BJ143" s="40">
        <f>IF(Table_BDD[[#This Row],[Position]]="","",IF(Table_BDD[[#This Row],[Résultat]]="Perdant",1,0))</f>
        <v>1</v>
      </c>
      <c r="BK143" s="40"/>
      <c r="BL143" s="145">
        <f>IF(Table_BDD[[#This Row],[T / P]]="","",Table_BDD[[#This Row],[T / P]])</f>
        <v>29583.83</v>
      </c>
      <c r="BM143" s="147"/>
      <c r="BN143" s="147"/>
      <c r="BO143" s="147"/>
      <c r="BP143" s="147"/>
      <c r="BQ143" s="127"/>
    </row>
    <row r="144" spans="1:69" x14ac:dyDescent="0.2">
      <c r="A144" s="93">
        <v>43875.783773148149</v>
      </c>
      <c r="B144" s="94">
        <v>260000156</v>
      </c>
      <c r="C144" s="37" t="s">
        <v>8</v>
      </c>
      <c r="D144" s="37" t="s">
        <v>9</v>
      </c>
      <c r="E144" s="37">
        <v>0.45</v>
      </c>
      <c r="F144" s="95">
        <v>29364.81</v>
      </c>
      <c r="G144" s="95">
        <v>29354.81</v>
      </c>
      <c r="H144" s="95">
        <v>29588.7</v>
      </c>
      <c r="I144" s="93">
        <v>43875.787187499998</v>
      </c>
      <c r="J144" s="95">
        <v>29354.66</v>
      </c>
      <c r="K144" s="95">
        <v>0</v>
      </c>
      <c r="L144" s="95">
        <v>0</v>
      </c>
      <c r="M144" s="32">
        <v>-4.22</v>
      </c>
      <c r="N144" s="148">
        <f>IF(Table_BDD[[#This Row],[Position]]="","",ROW()-3)</f>
        <v>141</v>
      </c>
      <c r="O144" s="32">
        <f>SUM($L$4:M144)</f>
        <v>-216.55999999999997</v>
      </c>
      <c r="P144" s="32">
        <f>Table_BDD[[#This Row],[Equité avant trade]]+Table_BDD[[#This Row],[Profit]]+Table_BDD[[#This Row],[Echange]]</f>
        <v>783.44</v>
      </c>
      <c r="Q144" s="52">
        <f>INT(Table_BDD[[#This Row],[Horodatage cloture]])</f>
        <v>43875</v>
      </c>
      <c r="R144" s="34">
        <f>WEEKNUM(Table_BDD[[#This Row],[Horodatage cloture]],2)</f>
        <v>7</v>
      </c>
      <c r="S144" s="61">
        <f>WEEKDAY(Table_BDD[[#This Row],[Horodatage cloture]])</f>
        <v>6</v>
      </c>
      <c r="T144" s="63">
        <f>HOUR(Table_BDD[[#This Row],[Horodatage cloture]])</f>
        <v>18</v>
      </c>
      <c r="U144" s="68">
        <f>IF(Table_BDD[[#This Row],[Position]]="","",IF(Table_BDD[[#This Row],[Valeur début de journée unique]]&lt;&gt;0,1,0))</f>
        <v>0</v>
      </c>
      <c r="V144" s="68" t="str">
        <f>IF(Table_BDD[[#This Row],[Nb de séance de trading]]=1,COUNTIF(Table_BDD[Date],Table_BDD[[#This Row],[Date]]),"")</f>
        <v/>
      </c>
      <c r="W144" s="33">
        <f>IF(Table_BDD[[#This Row],[Position]]="","",IF(Table_BDD[[#This Row],[Type]]="buy",ROUND(Table_BDD[[#This Row],[Lvl Entrée]]-Table_BDD[[#This Row],[S / L]],1),ROUND(Table_BDD[[#This Row],[S / L]]-Table_BDD[[#This Row],[Lvl Entrée]],1)))</f>
        <v>10</v>
      </c>
      <c r="X144" s="33">
        <f>IF(Table_BDD[[#This Row],[Position]]="","",IF(Table_BDD[[#This Row],[T / P]]=0,200,IF(Table_BDD[[#This Row],[Type]]="buy",ROUND(Table_BDD[[#This Row],[T / P]]-Table_BDD[[#This Row],[Lvl Entrée]],1),ROUND(Table_BDD[[#This Row],[Lvl Entrée]]-Table_BDD[[#This Row],[T / P]],1))))</f>
        <v>223.9</v>
      </c>
      <c r="Y144" s="34">
        <f>IF(Table_BDD[[#This Row],[Position]]="","",IF(Table_BDD[[#This Row],[Ecart du SL]]&gt;0,ROUND(ABS(Table_BDD[[#This Row],[Ecart du TP]])/ABS(Table_BDD[[#This Row],[Ecart du SL]]),1),ROUND(ABS(Table_BDD[[#This Row],[Ecart du TP]])/10,1)))</f>
        <v>22.4</v>
      </c>
      <c r="Z144" s="34">
        <f>IF(Table_BDD[[#This Row],[Position]]="","",IF(Table_BDD[[#This Row],[Ecart du SL]]&lt;0,IF(AND(Table_BDD[[#This Row],[Profit]]&gt;0,Table_BDD[[#This Row],[Type]]="sell"),ROUND((Table_BDD[[#This Row],[Lvl Entrée]]-Table_BDD[[#This Row],[Lvl Sortie]])/(10),1),IF(AND(Table_BDD[[#This Row],[Profit]]&gt;0,Table_BDD[[#This Row],[Type]]="buy"),ROUND((Table_BDD[[#This Row],[Lvl Sortie]]-Table_BDD[[#This Row],[Lvl Entrée]])/(10),1),)),IF(AND(Table_BDD[[#This Row],[Profit]]&gt;0,Table_BDD[[#This Row],[Type]]="sell"),ROUND((Table_BDD[[#This Row],[Lvl Entrée]]-Table_BDD[[#This Row],[Lvl Sortie]])/(Table_BDD[[#This Row],[S / L]]-Table_BDD[[#This Row],[Lvl Entrée]]),1),IF(AND(Table_BDD[[#This Row],[Profit]]&gt;0,Table_BDD[[#This Row],[Type]]="buy"),ROUND((Table_BDD[[#This Row],[Lvl Sortie]]-Table_BDD[[#This Row],[Lvl Entrée]])/(Table_BDD[[#This Row],[Lvl Entrée]]-Table_BDD[[#This Row],[S / L]]),1),ROUND(Table_BDD[[#This Row],[Points]]/10,1)))))</f>
        <v>-1</v>
      </c>
      <c r="AA144" s="32">
        <f>IF(Table_BDD[[#This Row],[Position]]="",AA143,Table_BDD[[#This Row],[Equité après trade]]-Table_BDD[[#This Row],[Profit]]-Table_BDD[[#This Row],[Echange]])</f>
        <v>787.66000000000008</v>
      </c>
      <c r="AB144" s="149">
        <f>$B$1+SUM($L$4:M144)</f>
        <v>783.44</v>
      </c>
      <c r="AC144" s="150">
        <f>IF(Table_BDD[[#This Row],[Position]]="","",_xlfn.MINIFS(Table_BDD[Horodatage ouverture],Table_BDD[Date],Table_BDD[Date]))</f>
        <v>43875.390983796293</v>
      </c>
      <c r="AD144" s="149">
        <f>VLOOKUP(_xlfn.MINIFS(Table_BDD[Horodatage ouverture],Table_BDD[Date],Table_BDD[Date]),Table_BDD[[Horodatage ouverture]:[Heure derniere valeur]],AA$2)</f>
        <v>867.85</v>
      </c>
      <c r="AE144" s="149">
        <f>IF(VLOOKUP(_xlfn.MINIFS(Table_BDD[Horodatage ouverture],Table_BDD[Date],Table_BDD[Date]),Table_BDD[[Horodatage ouverture]:[Heure derniere valeur]],AA$2)=Table_BDD[[#This Row],[Equité avant trade]],VLOOKUP(_xlfn.MINIFS(Table_BDD[Horodatage ouverture],Table_BDD[Date],Table_BDD[Date]),Table_BDD[[Horodatage ouverture]:[Heure derniere valeur]],AA$2),0)</f>
        <v>0</v>
      </c>
      <c r="AF144" s="150">
        <f>IF(Table_BDD[[#This Row],[Position]]="","",_xlfn.MAXIFS(Table_BDD[Horodatage ouverture],Table_BDD[Date],Table_BDD[Date]))</f>
        <v>43875.829016203701</v>
      </c>
      <c r="AG144" s="32">
        <f>VLOOKUP(_xlfn.MAXIFS(Table_BDD[Horodatage cloture],Table_BDD[Date],Table_BDD[Date]),Table_BDD[[Horodatage ouverture]:[Heure derniere valeur]],AB$2)</f>
        <v>775.01</v>
      </c>
      <c r="AH144" s="32">
        <f>IF(VLOOKUP(_xlfn.MAXIFS(Table_BDD[Horodatage cloture],Table_BDD[Date],Table_BDD[Date]),Table_BDD[[Horodatage ouverture]:[Heure derniere valeur]],AB$2)=Table_BDD[[#This Row],[Equité après trade]],VLOOKUP(_xlfn.MAXIFS(Table_BDD[Horodatage cloture],Table_BDD[Date],Table_BDD[Date]),Table_BDD[[Horodatage ouverture]:[Heure derniere valeur]],AB$2),0)</f>
        <v>0</v>
      </c>
      <c r="AI144" s="32" t="e">
        <f>IF(Table_BDD[[#This Row],[Valeur fin de journée unique]]=0,#N/A,Table_BDD[[#This Row],[Valeur fin de journée unique]])</f>
        <v>#N/A</v>
      </c>
      <c r="AJ144" s="35">
        <f>IF(Table_BDD[[#This Row],[Position]]="","",(Table_BDD[[#This Row],[Equité après trade]]-Table_BDD[[#This Row],[Equité avant trade]])/Table_BDD[[#This Row],[Equité avant trade]])</f>
        <v>-5.3576416220196873E-3</v>
      </c>
      <c r="AK144" s="35" t="str">
        <f>IFERROR(((INDEX(Table_BDD[[Trade n°]:[Valeur fin de journée unique]],Table_BDD[[#This Row],[Nb de trade du jour]]+Table_BDD[[#This Row],[Trade n°]]-1,21))-Table_BDD[[#This Row],[Valeur début de journée unique]])/Table_BDD[[#This Row],[Valeur début de journée unique]],"")</f>
        <v/>
      </c>
      <c r="AL144" s="32">
        <f>IF(Table_BDD[[#This Row],[Position]]="","",MAX(Table_BDD[[#This Row],[Cumul équité]],AL143))</f>
        <v>1052.8399999999999</v>
      </c>
      <c r="AM144" s="32">
        <f>IF(Table_BDD[[#This Row],[Position]]="","",MIN(Table_BDD[[#This Row],[Cumul équité]],AL143))</f>
        <v>783.44</v>
      </c>
      <c r="AN144" s="97">
        <f>IF(Table_BDD[[#This Row],[Sommet Drawdown]]&gt;AL143,"",Table_BDD[[#This Row],[Creux Drawdown]]/Table_BDD[[#This Row],[Sommet Drawdown]]-1)</f>
        <v>-0.25587933589149336</v>
      </c>
      <c r="AO144" s="36">
        <f>IF(Table_BDD[[#This Row],[Position]]="","",IF(Table_BDD[[#This Row],[Type]]="buy",ROUND(Table_BDD[[#This Row],[Lvl Sortie]]-Table_BDD[[#This Row],[Lvl Entrée]],1),ROUND(Table_BDD[[#This Row],[Lvl Entrée]]-Table_BDD[[#This Row],[Lvl Sortie]],1)))</f>
        <v>-10.199999999999999</v>
      </c>
      <c r="AP144" s="36" t="str">
        <f>IF(Table_BDD[[#This Row],[Points]]&gt;0,Table_BDD[[#This Row],[Points]],"")</f>
        <v/>
      </c>
      <c r="AQ144" s="36">
        <f>IF(Table_BDD[[#This Row],[Points]]&lt;0,Table_BDD[[#This Row],[Points]],"")</f>
        <v>-10.199999999999999</v>
      </c>
      <c r="AR144" s="36">
        <f>SUM($AO$4:AO144)</f>
        <v>-477.00000000000017</v>
      </c>
      <c r="AS144" s="68">
        <f>IF(Table_BDD[[#This Row],[Position]]="","",IF(Table_BDD[[#This Row],[Conformité]]="Conforme",1,0))</f>
        <v>0</v>
      </c>
      <c r="AT144" s="68">
        <f>IF(Table_BDD[[#This Row],[Position]]="","",IF(Table_BDD[[#This Row],[Conformité]]="Non conforme",1,0))</f>
        <v>1</v>
      </c>
      <c r="AU144" s="37" t="s">
        <v>17</v>
      </c>
      <c r="AV144" s="37"/>
      <c r="AW144" s="37"/>
      <c r="AX144" s="37">
        <v>0</v>
      </c>
      <c r="AY144" s="37">
        <v>0</v>
      </c>
      <c r="AZ144" s="37">
        <v>0</v>
      </c>
      <c r="BA144" s="40" t="str">
        <f>IF(Table_BDD[[#This Row],[Position]]="","Sans objet",IF(AND(Table_BDD[[#This Row],[Type]]="sell",Table_BDD[[#This Row],[S / L]]&lt;Table_BDD[[#This Row],[Lvl Entrée]],Table_BDD[[#This Row],[Lvl Sortie]]&lt;=Table_BDD[[#This Row],[S / L]]+2,Table_BDD[[#This Row],[Lvl Sortie]]&lt;Table_BDD[[#This Row],[Lvl Entrée]]-19),"Oui",IF(AND(Table_BDD[[#This Row],[Type]]="buy",Table_BDD[[#This Row],[S / L]]&gt;Table_BDD[[#This Row],[Lvl Entrée]],Table_BDD[[#This Row],[Lvl Sortie]]&gt;=Table_BDD[[#This Row],[S / L]]-2,Table_BDD[[#This Row],[S / L]]&gt;Table_BDD[[#This Row],[Lvl Entrée]]+19),"Oui","Non")))</f>
        <v>Non</v>
      </c>
      <c r="BB144" s="40" t="str">
        <f>IF(Table_BDD[[#This Row],[Position]]="","Sans objet",IF(AND(Table_BDD[[#This Row],[Type]]="sell",Table_BDD[[#This Row],[S / L]]&lt;Table_BDD[[#This Row],[Lvl Entrée]],Table_BDD[[#This Row],[Points]]&gt;=-1),"Oui",IF(AND(Table_BDD[[#This Row],[Type]]="sell",Table_BDD[[#This Row],[S / L]]&gt;Table_BDD[[#This Row],[Lvl Entrée]]),"Non",IF(AND(Table_BDD[[#This Row],[Type]]="buy",Table_BDD[[#This Row],[S / L]]&lt;Table_BDD[[#This Row],[Lvl Entrée]]),"Non",IF(AND(Table_BDD[[#This Row],[Type]]="buy",Table_BDD[[#This Row],[S / L]]&gt;Table_BDD[[#This Row],[Lvl Entrée]],Table_BDD[[#This Row],[Points]]&gt;=-1),"Oui")))))</f>
        <v>Non</v>
      </c>
      <c r="BC144" s="40" t="str">
        <f>IF(Table_BDD[[#This Row],[Position]]="","Sans objet",IF(Table_BDD[[#This Row],[T / P]]="","Non",IF(AND(Table_BDD[[#This Row],[Type]]="sell",Table_BDD[[#This Row],[Lvl Sortie]]&lt;=Table_BDD[[#This Row],[T / P]]),"Oui",IF(AND(Table_BDD[[#This Row],[Type]]="buy",Table_BDD[[#This Row],[Lvl Sortie]]&gt;=Table_BDD[[#This Row],[T / P]]),"Oui","Non"))))</f>
        <v>Non</v>
      </c>
      <c r="BD144" s="91">
        <f t="array" ref="BD144">IFERROR(INDEX(downloadFile[#All],MATCH(Table_BDD[[#This Row],[Date]],downloadFile[[#All],[Column1]],0),2),BD143)</f>
        <v>1.0842000000000001</v>
      </c>
      <c r="BE144" s="89">
        <f>IF(Table_BDD[[#This Row],[Position]]="","",IF(Table_BDD[[#This Row],[Symbole]]="UsaInd",(Table_BDD[[#This Row],[Volume]]*Table_BDD[[#This Row],[Lvl Entrée]])/(Table_BDD[[#This Row],[Equité avant trade]]*Table_BDD[[#This Row],[EUR/USD]]),IF(Table_BDD[[#This Row],[Symbole]]="Ger30",(Table_BDD[[#This Row],[Volume]]*Table_BDD[[#This Row],[Lvl Entrée]])/Table_BDD[[#This Row],[Equité avant trade]],)))</f>
        <v>15.473605306512612</v>
      </c>
      <c r="BF144" s="38">
        <f>IF(Table_BDD[[#This Row],[Position]]="","",IF(Table_BDD[[#This Row],[Conformité]]="Non conforme",0,(MROUND(3*((Table_BDD[[#This Row],[Conviction]]+Table_BDD[[#This Row],[Timing]]+Table_BDD[[#This Row],[Sortie]])+1)-2,1))))</f>
        <v>0</v>
      </c>
      <c r="BG144" s="38" t="str">
        <f>IF(Table_BDD[[#This Row],[Position]]="","",IF(Table_BDD[[#This Row],[Points]]&lt;-5,"--",IF(AND(Table_BDD[[#This Row],[Points]]&gt;=-5,Table_BDD[[#This Row],[Points]]&lt;-1.5),"-",IF(AND(Table_BDD[[#This Row],[Points]]&gt;=-1.5,Table_BDD[[#This Row],[Points]]&lt;1.5),"0",IF(AND(Table_BDD[[#This Row],[Points]]&gt;=1.5,Table_BDD[[#This Row],[Points]]&lt;=70),"+",IF(Table_BDD[[#This Row],[Points]]&gt;70,"++"))))))</f>
        <v>--</v>
      </c>
      <c r="BH144" s="37" t="str">
        <f>IF(Table_BDD[[#This Row],[Position]]="","",IF(Table_BDD[[#This Row],[Points]]&gt;0,"Gagnant",IF(Table_BDD[[#This Row],[Points]]=0,"Flat","Perdant")))</f>
        <v>Perdant</v>
      </c>
      <c r="BI144" s="40">
        <f>IF(Table_BDD[[#This Row],[Position]]="","",IF(Table_BDD[[#This Row],[Résultat]]="Gagnant",1,0))</f>
        <v>0</v>
      </c>
      <c r="BJ144" s="40">
        <f>IF(Table_BDD[[#This Row],[Position]]="","",IF(Table_BDD[[#This Row],[Résultat]]="Perdant",1,0))</f>
        <v>1</v>
      </c>
      <c r="BK144" s="40"/>
      <c r="BL144" s="145">
        <f>IF(Table_BDD[[#This Row],[T / P]]="","",Table_BDD[[#This Row],[T / P]])</f>
        <v>29588.7</v>
      </c>
      <c r="BM144" s="147"/>
      <c r="BN144" s="147"/>
      <c r="BO144" s="147"/>
      <c r="BP144" s="147"/>
      <c r="BQ144" s="127"/>
    </row>
    <row r="145" spans="1:69" x14ac:dyDescent="0.2">
      <c r="A145" s="93">
        <v>43875.805428240739</v>
      </c>
      <c r="B145" s="94">
        <v>260002560</v>
      </c>
      <c r="C145" s="37" t="s">
        <v>8</v>
      </c>
      <c r="D145" s="37" t="s">
        <v>9</v>
      </c>
      <c r="E145" s="37">
        <v>0.45</v>
      </c>
      <c r="F145" s="95">
        <v>29323.9</v>
      </c>
      <c r="G145" s="95">
        <v>29313.9</v>
      </c>
      <c r="H145" s="95"/>
      <c r="I145" s="93">
        <v>43875.829004629632</v>
      </c>
      <c r="J145" s="95">
        <v>29313.75</v>
      </c>
      <c r="K145" s="95">
        <v>0</v>
      </c>
      <c r="L145" s="95">
        <v>0</v>
      </c>
      <c r="M145" s="32">
        <v>-4.21</v>
      </c>
      <c r="N145" s="148">
        <f>IF(Table_BDD[[#This Row],[Position]]="","",ROW()-3)</f>
        <v>142</v>
      </c>
      <c r="O145" s="32">
        <f>SUM($L$4:M145)</f>
        <v>-220.76999999999998</v>
      </c>
      <c r="P145" s="32">
        <f>Table_BDD[[#This Row],[Equité avant trade]]+Table_BDD[[#This Row],[Profit]]+Table_BDD[[#This Row],[Echange]]</f>
        <v>779.23</v>
      </c>
      <c r="Q145" s="52">
        <f>INT(Table_BDD[[#This Row],[Horodatage cloture]])</f>
        <v>43875</v>
      </c>
      <c r="R145" s="34">
        <f>WEEKNUM(Table_BDD[[#This Row],[Horodatage cloture]],2)</f>
        <v>7</v>
      </c>
      <c r="S145" s="61">
        <f>WEEKDAY(Table_BDD[[#This Row],[Horodatage cloture]])</f>
        <v>6</v>
      </c>
      <c r="T145" s="63">
        <f>HOUR(Table_BDD[[#This Row],[Horodatage cloture]])</f>
        <v>19</v>
      </c>
      <c r="U145" s="68">
        <f>IF(Table_BDD[[#This Row],[Position]]="","",IF(Table_BDD[[#This Row],[Valeur début de journée unique]]&lt;&gt;0,1,0))</f>
        <v>0</v>
      </c>
      <c r="V145" s="68" t="str">
        <f>IF(Table_BDD[[#This Row],[Nb de séance de trading]]=1,COUNTIF(Table_BDD[Date],Table_BDD[[#This Row],[Date]]),"")</f>
        <v/>
      </c>
      <c r="W145" s="33">
        <f>IF(Table_BDD[[#This Row],[Position]]="","",IF(Table_BDD[[#This Row],[Type]]="buy",ROUND(Table_BDD[[#This Row],[Lvl Entrée]]-Table_BDD[[#This Row],[S / L]],1),ROUND(Table_BDD[[#This Row],[S / L]]-Table_BDD[[#This Row],[Lvl Entrée]],1)))</f>
        <v>10</v>
      </c>
      <c r="X145" s="33">
        <f>IF(Table_BDD[[#This Row],[Position]]="","",IF(Table_BDD[[#This Row],[T / P]]=0,200,IF(Table_BDD[[#This Row],[Type]]="buy",ROUND(Table_BDD[[#This Row],[T / P]]-Table_BDD[[#This Row],[Lvl Entrée]],1),ROUND(Table_BDD[[#This Row],[Lvl Entrée]]-Table_BDD[[#This Row],[T / P]],1))))</f>
        <v>200</v>
      </c>
      <c r="Y145" s="34">
        <f>IF(Table_BDD[[#This Row],[Position]]="","",IF(Table_BDD[[#This Row],[Ecart du SL]]&gt;0,ROUND(ABS(Table_BDD[[#This Row],[Ecart du TP]])/ABS(Table_BDD[[#This Row],[Ecart du SL]]),1),ROUND(ABS(Table_BDD[[#This Row],[Ecart du TP]])/10,1)))</f>
        <v>20</v>
      </c>
      <c r="Z145" s="34">
        <f>IF(Table_BDD[[#This Row],[Position]]="","",IF(Table_BDD[[#This Row],[Ecart du SL]]&lt;0,IF(AND(Table_BDD[[#This Row],[Profit]]&gt;0,Table_BDD[[#This Row],[Type]]="sell"),ROUND((Table_BDD[[#This Row],[Lvl Entrée]]-Table_BDD[[#This Row],[Lvl Sortie]])/(10),1),IF(AND(Table_BDD[[#This Row],[Profit]]&gt;0,Table_BDD[[#This Row],[Type]]="buy"),ROUND((Table_BDD[[#This Row],[Lvl Sortie]]-Table_BDD[[#This Row],[Lvl Entrée]])/(10),1),)),IF(AND(Table_BDD[[#This Row],[Profit]]&gt;0,Table_BDD[[#This Row],[Type]]="sell"),ROUND((Table_BDD[[#This Row],[Lvl Entrée]]-Table_BDD[[#This Row],[Lvl Sortie]])/(Table_BDD[[#This Row],[S / L]]-Table_BDD[[#This Row],[Lvl Entrée]]),1),IF(AND(Table_BDD[[#This Row],[Profit]]&gt;0,Table_BDD[[#This Row],[Type]]="buy"),ROUND((Table_BDD[[#This Row],[Lvl Sortie]]-Table_BDD[[#This Row],[Lvl Entrée]])/(Table_BDD[[#This Row],[Lvl Entrée]]-Table_BDD[[#This Row],[S / L]]),1),ROUND(Table_BDD[[#This Row],[Points]]/10,1)))))</f>
        <v>-1</v>
      </c>
      <c r="AA145" s="32">
        <f>IF(Table_BDD[[#This Row],[Position]]="",AA144,Table_BDD[[#This Row],[Equité après trade]]-Table_BDD[[#This Row],[Profit]]-Table_BDD[[#This Row],[Echange]])</f>
        <v>783.44</v>
      </c>
      <c r="AB145" s="149">
        <f>$B$1+SUM($L$4:M145)</f>
        <v>779.23</v>
      </c>
      <c r="AC145" s="150">
        <f>IF(Table_BDD[[#This Row],[Position]]="","",_xlfn.MINIFS(Table_BDD[Horodatage ouverture],Table_BDD[Date],Table_BDD[Date]))</f>
        <v>43875.390983796293</v>
      </c>
      <c r="AD145" s="149">
        <f>VLOOKUP(_xlfn.MINIFS(Table_BDD[Horodatage ouverture],Table_BDD[Date],Table_BDD[Date]),Table_BDD[[Horodatage ouverture]:[Heure derniere valeur]],AA$2)</f>
        <v>867.85</v>
      </c>
      <c r="AE145" s="149">
        <f>IF(VLOOKUP(_xlfn.MINIFS(Table_BDD[Horodatage ouverture],Table_BDD[Date],Table_BDD[Date]),Table_BDD[[Horodatage ouverture]:[Heure derniere valeur]],AA$2)=Table_BDD[[#This Row],[Equité avant trade]],VLOOKUP(_xlfn.MINIFS(Table_BDD[Horodatage ouverture],Table_BDD[Date],Table_BDD[Date]),Table_BDD[[Horodatage ouverture]:[Heure derniere valeur]],AA$2),0)</f>
        <v>0</v>
      </c>
      <c r="AF145" s="150">
        <f>IF(Table_BDD[[#This Row],[Position]]="","",_xlfn.MAXIFS(Table_BDD[Horodatage ouverture],Table_BDD[Date],Table_BDD[Date]))</f>
        <v>43875.829016203701</v>
      </c>
      <c r="AG145" s="32">
        <f>VLOOKUP(_xlfn.MAXIFS(Table_BDD[Horodatage cloture],Table_BDD[Date],Table_BDD[Date]),Table_BDD[[Horodatage ouverture]:[Heure derniere valeur]],AB$2)</f>
        <v>775.01</v>
      </c>
      <c r="AH145" s="32">
        <f>IF(VLOOKUP(_xlfn.MAXIFS(Table_BDD[Horodatage cloture],Table_BDD[Date],Table_BDD[Date]),Table_BDD[[Horodatage ouverture]:[Heure derniere valeur]],AB$2)=Table_BDD[[#This Row],[Equité après trade]],VLOOKUP(_xlfn.MAXIFS(Table_BDD[Horodatage cloture],Table_BDD[Date],Table_BDD[Date]),Table_BDD[[Horodatage ouverture]:[Heure derniere valeur]],AB$2),0)</f>
        <v>0</v>
      </c>
      <c r="AI145" s="32" t="e">
        <f>IF(Table_BDD[[#This Row],[Valeur fin de journée unique]]=0,#N/A,Table_BDD[[#This Row],[Valeur fin de journée unique]])</f>
        <v>#N/A</v>
      </c>
      <c r="AJ145" s="35">
        <f>IF(Table_BDD[[#This Row],[Position]]="","",(Table_BDD[[#This Row],[Equité après trade]]-Table_BDD[[#This Row],[Equité avant trade]])/Table_BDD[[#This Row],[Equité avant trade]])</f>
        <v>-5.3737363422853516E-3</v>
      </c>
      <c r="AK145" s="35" t="str">
        <f>IFERROR(((INDEX(Table_BDD[[Trade n°]:[Valeur fin de journée unique]],Table_BDD[[#This Row],[Nb de trade du jour]]+Table_BDD[[#This Row],[Trade n°]]-1,21))-Table_BDD[[#This Row],[Valeur début de journée unique]])/Table_BDD[[#This Row],[Valeur début de journée unique]],"")</f>
        <v/>
      </c>
      <c r="AL145" s="32">
        <f>IF(Table_BDD[[#This Row],[Position]]="","",MAX(Table_BDD[[#This Row],[Cumul équité]],AL144))</f>
        <v>1052.8399999999999</v>
      </c>
      <c r="AM145" s="32">
        <f>IF(Table_BDD[[#This Row],[Position]]="","",MIN(Table_BDD[[#This Row],[Cumul équité]],AL144))</f>
        <v>779.23</v>
      </c>
      <c r="AN145" s="97">
        <f>IF(Table_BDD[[#This Row],[Sommet Drawdown]]&gt;AL144,"",Table_BDD[[#This Row],[Creux Drawdown]]/Table_BDD[[#This Row],[Sommet Drawdown]]-1)</f>
        <v>-0.25987804414725879</v>
      </c>
      <c r="AO145" s="36">
        <f>IF(Table_BDD[[#This Row],[Position]]="","",IF(Table_BDD[[#This Row],[Type]]="buy",ROUND(Table_BDD[[#This Row],[Lvl Sortie]]-Table_BDD[[#This Row],[Lvl Entrée]],1),ROUND(Table_BDD[[#This Row],[Lvl Entrée]]-Table_BDD[[#This Row],[Lvl Sortie]],1)))</f>
        <v>-10.199999999999999</v>
      </c>
      <c r="AP145" s="36" t="str">
        <f>IF(Table_BDD[[#This Row],[Points]]&gt;0,Table_BDD[[#This Row],[Points]],"")</f>
        <v/>
      </c>
      <c r="AQ145" s="36">
        <f>IF(Table_BDD[[#This Row],[Points]]&lt;0,Table_BDD[[#This Row],[Points]],"")</f>
        <v>-10.199999999999999</v>
      </c>
      <c r="AR145" s="36">
        <f>SUM($AO$4:AO145)</f>
        <v>-487.20000000000016</v>
      </c>
      <c r="AS145" s="68">
        <f>IF(Table_BDD[[#This Row],[Position]]="","",IF(Table_BDD[[#This Row],[Conformité]]="Conforme",1,0))</f>
        <v>0</v>
      </c>
      <c r="AT145" s="68">
        <f>IF(Table_BDD[[#This Row],[Position]]="","",IF(Table_BDD[[#This Row],[Conformité]]="Non conforme",1,0))</f>
        <v>1</v>
      </c>
      <c r="AU145" s="37" t="s">
        <v>17</v>
      </c>
      <c r="AV145" s="37"/>
      <c r="AW145" s="37"/>
      <c r="AX145" s="37">
        <v>0</v>
      </c>
      <c r="AY145" s="37">
        <v>0</v>
      </c>
      <c r="AZ145" s="37">
        <v>0</v>
      </c>
      <c r="BA145" s="40" t="str">
        <f>IF(Table_BDD[[#This Row],[Position]]="","Sans objet",IF(AND(Table_BDD[[#This Row],[Type]]="sell",Table_BDD[[#This Row],[S / L]]&lt;Table_BDD[[#This Row],[Lvl Entrée]],Table_BDD[[#This Row],[Lvl Sortie]]&lt;=Table_BDD[[#This Row],[S / L]]+2,Table_BDD[[#This Row],[Lvl Sortie]]&lt;Table_BDD[[#This Row],[Lvl Entrée]]-19),"Oui",IF(AND(Table_BDD[[#This Row],[Type]]="buy",Table_BDD[[#This Row],[S / L]]&gt;Table_BDD[[#This Row],[Lvl Entrée]],Table_BDD[[#This Row],[Lvl Sortie]]&gt;=Table_BDD[[#This Row],[S / L]]-2,Table_BDD[[#This Row],[S / L]]&gt;Table_BDD[[#This Row],[Lvl Entrée]]+19),"Oui","Non")))</f>
        <v>Non</v>
      </c>
      <c r="BB145" s="40" t="str">
        <f>IF(Table_BDD[[#This Row],[Position]]="","Sans objet",IF(AND(Table_BDD[[#This Row],[Type]]="sell",Table_BDD[[#This Row],[S / L]]&lt;Table_BDD[[#This Row],[Lvl Entrée]],Table_BDD[[#This Row],[Points]]&gt;=-1),"Oui",IF(AND(Table_BDD[[#This Row],[Type]]="sell",Table_BDD[[#This Row],[S / L]]&gt;Table_BDD[[#This Row],[Lvl Entrée]]),"Non",IF(AND(Table_BDD[[#This Row],[Type]]="buy",Table_BDD[[#This Row],[S / L]]&lt;Table_BDD[[#This Row],[Lvl Entrée]]),"Non",IF(AND(Table_BDD[[#This Row],[Type]]="buy",Table_BDD[[#This Row],[S / L]]&gt;Table_BDD[[#This Row],[Lvl Entrée]],Table_BDD[[#This Row],[Points]]&gt;=-1),"Oui")))))</f>
        <v>Non</v>
      </c>
      <c r="BC145" s="40" t="str">
        <f>IF(Table_BDD[[#This Row],[Position]]="","Sans objet",IF(Table_BDD[[#This Row],[T / P]]="","Non",IF(AND(Table_BDD[[#This Row],[Type]]="sell",Table_BDD[[#This Row],[Lvl Sortie]]&lt;=Table_BDD[[#This Row],[T / P]]),"Oui",IF(AND(Table_BDD[[#This Row],[Type]]="buy",Table_BDD[[#This Row],[Lvl Sortie]]&gt;=Table_BDD[[#This Row],[T / P]]),"Oui","Non"))))</f>
        <v>Non</v>
      </c>
      <c r="BD145" s="91">
        <f t="array" ref="BD145">IFERROR(INDEX(downloadFile[#All],MATCH(Table_BDD[[#This Row],[Date]],downloadFile[[#All],[Column1]],0),2),BD144)</f>
        <v>1.0842000000000001</v>
      </c>
      <c r="BE145" s="89">
        <f>IF(Table_BDD[[#This Row],[Position]]="","",IF(Table_BDD[[#This Row],[Symbole]]="UsaInd",(Table_BDD[[#This Row],[Volume]]*Table_BDD[[#This Row],[Lvl Entrée]])/(Table_BDD[[#This Row],[Equité avant trade]]*Table_BDD[[#This Row],[EUR/USD]]),IF(Table_BDD[[#This Row],[Symbole]]="Ger30",(Table_BDD[[#This Row],[Volume]]*Table_BDD[[#This Row],[Lvl Entrée]])/Table_BDD[[#This Row],[Equité avant trade]],)))</f>
        <v>15.53528050004207</v>
      </c>
      <c r="BF145" s="38">
        <f>IF(Table_BDD[[#This Row],[Position]]="","",IF(Table_BDD[[#This Row],[Conformité]]="Non conforme",0,(MROUND(3*((Table_BDD[[#This Row],[Conviction]]+Table_BDD[[#This Row],[Timing]]+Table_BDD[[#This Row],[Sortie]])+1)-2,1))))</f>
        <v>0</v>
      </c>
      <c r="BG145" s="38" t="str">
        <f>IF(Table_BDD[[#This Row],[Position]]="","",IF(Table_BDD[[#This Row],[Points]]&lt;-5,"--",IF(AND(Table_BDD[[#This Row],[Points]]&gt;=-5,Table_BDD[[#This Row],[Points]]&lt;-1.5),"-",IF(AND(Table_BDD[[#This Row],[Points]]&gt;=-1.5,Table_BDD[[#This Row],[Points]]&lt;1.5),"0",IF(AND(Table_BDD[[#This Row],[Points]]&gt;=1.5,Table_BDD[[#This Row],[Points]]&lt;=70),"+",IF(Table_BDD[[#This Row],[Points]]&gt;70,"++"))))))</f>
        <v>--</v>
      </c>
      <c r="BH145" s="37" t="str">
        <f>IF(Table_BDD[[#This Row],[Position]]="","",IF(Table_BDD[[#This Row],[Points]]&gt;0,"Gagnant",IF(Table_BDD[[#This Row],[Points]]=0,"Flat","Perdant")))</f>
        <v>Perdant</v>
      </c>
      <c r="BI145" s="40">
        <f>IF(Table_BDD[[#This Row],[Position]]="","",IF(Table_BDD[[#This Row],[Résultat]]="Gagnant",1,0))</f>
        <v>0</v>
      </c>
      <c r="BJ145" s="40">
        <f>IF(Table_BDD[[#This Row],[Position]]="","",IF(Table_BDD[[#This Row],[Résultat]]="Perdant",1,0))</f>
        <v>1</v>
      </c>
      <c r="BK145" s="40"/>
      <c r="BL145" s="145" t="str">
        <f>IF(Table_BDD[[#This Row],[T / P]]="","",Table_BDD[[#This Row],[T / P]])</f>
        <v/>
      </c>
      <c r="BM145" s="147"/>
      <c r="BN145" s="147"/>
      <c r="BO145" s="147"/>
      <c r="BP145" s="147"/>
      <c r="BQ145" s="127"/>
    </row>
    <row r="146" spans="1:69" x14ac:dyDescent="0.2">
      <c r="A146" s="93">
        <v>43875.829016203701</v>
      </c>
      <c r="B146" s="94">
        <v>260004073</v>
      </c>
      <c r="C146" s="37" t="s">
        <v>8</v>
      </c>
      <c r="D146" s="37" t="s">
        <v>9</v>
      </c>
      <c r="E146" s="37">
        <v>0.45</v>
      </c>
      <c r="F146" s="95">
        <v>29317.96</v>
      </c>
      <c r="G146" s="95">
        <v>29307.96</v>
      </c>
      <c r="H146" s="95"/>
      <c r="I146" s="93">
        <v>43875.831331018519</v>
      </c>
      <c r="J146" s="95">
        <v>29307.78</v>
      </c>
      <c r="K146" s="95">
        <v>0</v>
      </c>
      <c r="L146" s="95">
        <v>0</v>
      </c>
      <c r="M146" s="32">
        <v>-4.22</v>
      </c>
      <c r="N146" s="148">
        <f>IF(Table_BDD[[#This Row],[Position]]="","",ROW()-3)</f>
        <v>143</v>
      </c>
      <c r="O146" s="32">
        <f>SUM($L$4:M146)</f>
        <v>-224.98999999999998</v>
      </c>
      <c r="P146" s="32">
        <f>Table_BDD[[#This Row],[Equité avant trade]]+Table_BDD[[#This Row],[Profit]]+Table_BDD[[#This Row],[Echange]]</f>
        <v>775.01</v>
      </c>
      <c r="Q146" s="52">
        <f>INT(Table_BDD[[#This Row],[Horodatage cloture]])</f>
        <v>43875</v>
      </c>
      <c r="R146" s="34">
        <f>WEEKNUM(Table_BDD[[#This Row],[Horodatage cloture]],2)</f>
        <v>7</v>
      </c>
      <c r="S146" s="61">
        <f>WEEKDAY(Table_BDD[[#This Row],[Horodatage cloture]])</f>
        <v>6</v>
      </c>
      <c r="T146" s="63">
        <f>HOUR(Table_BDD[[#This Row],[Horodatage cloture]])</f>
        <v>19</v>
      </c>
      <c r="U146" s="68">
        <f>IF(Table_BDD[[#This Row],[Position]]="","",IF(Table_BDD[[#This Row],[Valeur début de journée unique]]&lt;&gt;0,1,0))</f>
        <v>0</v>
      </c>
      <c r="V146" s="68" t="str">
        <f>IF(Table_BDD[[#This Row],[Nb de séance de trading]]=1,COUNTIF(Table_BDD[Date],Table_BDD[[#This Row],[Date]]),"")</f>
        <v/>
      </c>
      <c r="W146" s="33">
        <f>IF(Table_BDD[[#This Row],[Position]]="","",IF(Table_BDD[[#This Row],[Type]]="buy",ROUND(Table_BDD[[#This Row],[Lvl Entrée]]-Table_BDD[[#This Row],[S / L]],1),ROUND(Table_BDD[[#This Row],[S / L]]-Table_BDD[[#This Row],[Lvl Entrée]],1)))</f>
        <v>10</v>
      </c>
      <c r="X146" s="33">
        <f>IF(Table_BDD[[#This Row],[Position]]="","",IF(Table_BDD[[#This Row],[T / P]]=0,200,IF(Table_BDD[[#This Row],[Type]]="buy",ROUND(Table_BDD[[#This Row],[T / P]]-Table_BDD[[#This Row],[Lvl Entrée]],1),ROUND(Table_BDD[[#This Row],[Lvl Entrée]]-Table_BDD[[#This Row],[T / P]],1))))</f>
        <v>200</v>
      </c>
      <c r="Y146" s="34">
        <f>IF(Table_BDD[[#This Row],[Position]]="","",IF(Table_BDD[[#This Row],[Ecart du SL]]&gt;0,ROUND(ABS(Table_BDD[[#This Row],[Ecart du TP]])/ABS(Table_BDD[[#This Row],[Ecart du SL]]),1),ROUND(ABS(Table_BDD[[#This Row],[Ecart du TP]])/10,1)))</f>
        <v>20</v>
      </c>
      <c r="Z146" s="34">
        <f>IF(Table_BDD[[#This Row],[Position]]="","",IF(Table_BDD[[#This Row],[Ecart du SL]]&lt;0,IF(AND(Table_BDD[[#This Row],[Profit]]&gt;0,Table_BDD[[#This Row],[Type]]="sell"),ROUND((Table_BDD[[#This Row],[Lvl Entrée]]-Table_BDD[[#This Row],[Lvl Sortie]])/(10),1),IF(AND(Table_BDD[[#This Row],[Profit]]&gt;0,Table_BDD[[#This Row],[Type]]="buy"),ROUND((Table_BDD[[#This Row],[Lvl Sortie]]-Table_BDD[[#This Row],[Lvl Entrée]])/(10),1),)),IF(AND(Table_BDD[[#This Row],[Profit]]&gt;0,Table_BDD[[#This Row],[Type]]="sell"),ROUND((Table_BDD[[#This Row],[Lvl Entrée]]-Table_BDD[[#This Row],[Lvl Sortie]])/(Table_BDD[[#This Row],[S / L]]-Table_BDD[[#This Row],[Lvl Entrée]]),1),IF(AND(Table_BDD[[#This Row],[Profit]]&gt;0,Table_BDD[[#This Row],[Type]]="buy"),ROUND((Table_BDD[[#This Row],[Lvl Sortie]]-Table_BDD[[#This Row],[Lvl Entrée]])/(Table_BDD[[#This Row],[Lvl Entrée]]-Table_BDD[[#This Row],[S / L]]),1),ROUND(Table_BDD[[#This Row],[Points]]/10,1)))))</f>
        <v>-1</v>
      </c>
      <c r="AA146" s="32">
        <f>IF(Table_BDD[[#This Row],[Position]]="",AA145,Table_BDD[[#This Row],[Equité après trade]]-Table_BDD[[#This Row],[Profit]]-Table_BDD[[#This Row],[Echange]])</f>
        <v>779.23</v>
      </c>
      <c r="AB146" s="149">
        <f>$B$1+SUM($L$4:M146)</f>
        <v>775.01</v>
      </c>
      <c r="AC146" s="150">
        <f>IF(Table_BDD[[#This Row],[Position]]="","",_xlfn.MINIFS(Table_BDD[Horodatage ouverture],Table_BDD[Date],Table_BDD[Date]))</f>
        <v>43875.390983796293</v>
      </c>
      <c r="AD146" s="149">
        <f>VLOOKUP(_xlfn.MINIFS(Table_BDD[Horodatage ouverture],Table_BDD[Date],Table_BDD[Date]),Table_BDD[[Horodatage ouverture]:[Heure derniere valeur]],AA$2)</f>
        <v>867.85</v>
      </c>
      <c r="AE146" s="149">
        <f>IF(VLOOKUP(_xlfn.MINIFS(Table_BDD[Horodatage ouverture],Table_BDD[Date],Table_BDD[Date]),Table_BDD[[Horodatage ouverture]:[Heure derniere valeur]],AA$2)=Table_BDD[[#This Row],[Equité avant trade]],VLOOKUP(_xlfn.MINIFS(Table_BDD[Horodatage ouverture],Table_BDD[Date],Table_BDD[Date]),Table_BDD[[Horodatage ouverture]:[Heure derniere valeur]],AA$2),0)</f>
        <v>0</v>
      </c>
      <c r="AF146" s="150">
        <f>IF(Table_BDD[[#This Row],[Position]]="","",_xlfn.MAXIFS(Table_BDD[Horodatage ouverture],Table_BDD[Date],Table_BDD[Date]))</f>
        <v>43875.829016203701</v>
      </c>
      <c r="AG146" s="32">
        <f>VLOOKUP(_xlfn.MAXIFS(Table_BDD[Horodatage cloture],Table_BDD[Date],Table_BDD[Date]),Table_BDD[[Horodatage ouverture]:[Heure derniere valeur]],AB$2)</f>
        <v>775.01</v>
      </c>
      <c r="AH146" s="32">
        <f>IF(VLOOKUP(_xlfn.MAXIFS(Table_BDD[Horodatage cloture],Table_BDD[Date],Table_BDD[Date]),Table_BDD[[Horodatage ouverture]:[Heure derniere valeur]],AB$2)=Table_BDD[[#This Row],[Equité après trade]],VLOOKUP(_xlfn.MAXIFS(Table_BDD[Horodatage cloture],Table_BDD[Date],Table_BDD[Date]),Table_BDD[[Horodatage ouverture]:[Heure derniere valeur]],AB$2),0)</f>
        <v>775.01</v>
      </c>
      <c r="AI146" s="32">
        <f>IF(Table_BDD[[#This Row],[Valeur fin de journée unique]]=0,#N/A,Table_BDD[[#This Row],[Valeur fin de journée unique]])</f>
        <v>775.01</v>
      </c>
      <c r="AJ146" s="35">
        <f>IF(Table_BDD[[#This Row],[Position]]="","",(Table_BDD[[#This Row],[Equité après trade]]-Table_BDD[[#This Row],[Equité avant trade]])/Table_BDD[[#This Row],[Equité avant trade]])</f>
        <v>-5.4156025820361478E-3</v>
      </c>
      <c r="AK146" s="35" t="str">
        <f>IFERROR(((INDEX(Table_BDD[[Trade n°]:[Valeur fin de journée unique]],Table_BDD[[#This Row],[Nb de trade du jour]]+Table_BDD[[#This Row],[Trade n°]]-1,21))-Table_BDD[[#This Row],[Valeur début de journée unique]])/Table_BDD[[#This Row],[Valeur début de journée unique]],"")</f>
        <v/>
      </c>
      <c r="AL146" s="32">
        <f>IF(Table_BDD[[#This Row],[Position]]="","",MAX(Table_BDD[[#This Row],[Cumul équité]],AL145))</f>
        <v>1052.8399999999999</v>
      </c>
      <c r="AM146" s="32">
        <f>IF(Table_BDD[[#This Row],[Position]]="","",MIN(Table_BDD[[#This Row],[Cumul équité]],AL145))</f>
        <v>775.01</v>
      </c>
      <c r="AN146" s="97">
        <f>IF(Table_BDD[[#This Row],[Sommet Drawdown]]&gt;AL145,"",Table_BDD[[#This Row],[Creux Drawdown]]/Table_BDD[[#This Row],[Sommet Drawdown]]-1)</f>
        <v>-0.26388625052239656</v>
      </c>
      <c r="AO146" s="36">
        <f>IF(Table_BDD[[#This Row],[Position]]="","",IF(Table_BDD[[#This Row],[Type]]="buy",ROUND(Table_BDD[[#This Row],[Lvl Sortie]]-Table_BDD[[#This Row],[Lvl Entrée]],1),ROUND(Table_BDD[[#This Row],[Lvl Entrée]]-Table_BDD[[#This Row],[Lvl Sortie]],1)))</f>
        <v>-10.199999999999999</v>
      </c>
      <c r="AP146" s="36" t="str">
        <f>IF(Table_BDD[[#This Row],[Points]]&gt;0,Table_BDD[[#This Row],[Points]],"")</f>
        <v/>
      </c>
      <c r="AQ146" s="36">
        <f>IF(Table_BDD[[#This Row],[Points]]&lt;0,Table_BDD[[#This Row],[Points]],"")</f>
        <v>-10.199999999999999</v>
      </c>
      <c r="AR146" s="36">
        <f>SUM($AO$4:AO146)</f>
        <v>-497.40000000000015</v>
      </c>
      <c r="AS146" s="68">
        <f>IF(Table_BDD[[#This Row],[Position]]="","",IF(Table_BDD[[#This Row],[Conformité]]="Conforme",1,0))</f>
        <v>0</v>
      </c>
      <c r="AT146" s="68">
        <f>IF(Table_BDD[[#This Row],[Position]]="","",IF(Table_BDD[[#This Row],[Conformité]]="Non conforme",1,0))</f>
        <v>1</v>
      </c>
      <c r="AU146" s="37" t="s">
        <v>17</v>
      </c>
      <c r="AV146" s="37"/>
      <c r="AW146" s="37"/>
      <c r="AX146" s="37">
        <v>0</v>
      </c>
      <c r="AY146" s="37">
        <v>0</v>
      </c>
      <c r="AZ146" s="37">
        <v>0</v>
      </c>
      <c r="BA146" s="40" t="str">
        <f>IF(Table_BDD[[#This Row],[Position]]="","Sans objet",IF(AND(Table_BDD[[#This Row],[Type]]="sell",Table_BDD[[#This Row],[S / L]]&lt;Table_BDD[[#This Row],[Lvl Entrée]],Table_BDD[[#This Row],[Lvl Sortie]]&lt;=Table_BDD[[#This Row],[S / L]]+2,Table_BDD[[#This Row],[Lvl Sortie]]&lt;Table_BDD[[#This Row],[Lvl Entrée]]-19),"Oui",IF(AND(Table_BDD[[#This Row],[Type]]="buy",Table_BDD[[#This Row],[S / L]]&gt;Table_BDD[[#This Row],[Lvl Entrée]],Table_BDD[[#This Row],[Lvl Sortie]]&gt;=Table_BDD[[#This Row],[S / L]]-2,Table_BDD[[#This Row],[S / L]]&gt;Table_BDD[[#This Row],[Lvl Entrée]]+19),"Oui","Non")))</f>
        <v>Non</v>
      </c>
      <c r="BB146" s="40" t="str">
        <f>IF(Table_BDD[[#This Row],[Position]]="","Sans objet",IF(AND(Table_BDD[[#This Row],[Type]]="sell",Table_BDD[[#This Row],[S / L]]&lt;Table_BDD[[#This Row],[Lvl Entrée]],Table_BDD[[#This Row],[Points]]&gt;=-1),"Oui",IF(AND(Table_BDD[[#This Row],[Type]]="sell",Table_BDD[[#This Row],[S / L]]&gt;Table_BDD[[#This Row],[Lvl Entrée]]),"Non",IF(AND(Table_BDD[[#This Row],[Type]]="buy",Table_BDD[[#This Row],[S / L]]&lt;Table_BDD[[#This Row],[Lvl Entrée]]),"Non",IF(AND(Table_BDD[[#This Row],[Type]]="buy",Table_BDD[[#This Row],[S / L]]&gt;Table_BDD[[#This Row],[Lvl Entrée]],Table_BDD[[#This Row],[Points]]&gt;=-1),"Oui")))))</f>
        <v>Non</v>
      </c>
      <c r="BC146" s="40" t="str">
        <f>IF(Table_BDD[[#This Row],[Position]]="","Sans objet",IF(Table_BDD[[#This Row],[T / P]]="","Non",IF(AND(Table_BDD[[#This Row],[Type]]="sell",Table_BDD[[#This Row],[Lvl Sortie]]&lt;=Table_BDD[[#This Row],[T / P]]),"Oui",IF(AND(Table_BDD[[#This Row],[Type]]="buy",Table_BDD[[#This Row],[Lvl Sortie]]&gt;=Table_BDD[[#This Row],[T / P]]),"Oui","Non"))))</f>
        <v>Non</v>
      </c>
      <c r="BD146" s="91">
        <f t="array" ref="BD146">IFERROR(INDEX(downloadFile[#All],MATCH(Table_BDD[[#This Row],[Date]],downloadFile[[#All],[Column1]],0),2),BD145)</f>
        <v>1.0842000000000001</v>
      </c>
      <c r="BE146" s="89">
        <f>IF(Table_BDD[[#This Row],[Position]]="","",IF(Table_BDD[[#This Row],[Symbole]]="UsaInd",(Table_BDD[[#This Row],[Volume]]*Table_BDD[[#This Row],[Lvl Entrée]])/(Table_BDD[[#This Row],[Equité avant trade]]*Table_BDD[[#This Row],[EUR/USD]]),IF(Table_BDD[[#This Row],[Symbole]]="Ger30",(Table_BDD[[#This Row],[Volume]]*Table_BDD[[#This Row],[Lvl Entrée]])/Table_BDD[[#This Row],[Equité avant trade]],)))</f>
        <v>15.616050129829965</v>
      </c>
      <c r="BF146" s="38">
        <f>IF(Table_BDD[[#This Row],[Position]]="","",IF(Table_BDD[[#This Row],[Conformité]]="Non conforme",0,(MROUND(3*((Table_BDD[[#This Row],[Conviction]]+Table_BDD[[#This Row],[Timing]]+Table_BDD[[#This Row],[Sortie]])+1)-2,1))))</f>
        <v>0</v>
      </c>
      <c r="BG146" s="38" t="str">
        <f>IF(Table_BDD[[#This Row],[Position]]="","",IF(Table_BDD[[#This Row],[Points]]&lt;-5,"--",IF(AND(Table_BDD[[#This Row],[Points]]&gt;=-5,Table_BDD[[#This Row],[Points]]&lt;-1.5),"-",IF(AND(Table_BDD[[#This Row],[Points]]&gt;=-1.5,Table_BDD[[#This Row],[Points]]&lt;1.5),"0",IF(AND(Table_BDD[[#This Row],[Points]]&gt;=1.5,Table_BDD[[#This Row],[Points]]&lt;=70),"+",IF(Table_BDD[[#This Row],[Points]]&gt;70,"++"))))))</f>
        <v>--</v>
      </c>
      <c r="BH146" s="37" t="str">
        <f>IF(Table_BDD[[#This Row],[Position]]="","",IF(Table_BDD[[#This Row],[Points]]&gt;0,"Gagnant",IF(Table_BDD[[#This Row],[Points]]=0,"Flat","Perdant")))</f>
        <v>Perdant</v>
      </c>
      <c r="BI146" s="40">
        <f>IF(Table_BDD[[#This Row],[Position]]="","",IF(Table_BDD[[#This Row],[Résultat]]="Gagnant",1,0))</f>
        <v>0</v>
      </c>
      <c r="BJ146" s="40">
        <f>IF(Table_BDD[[#This Row],[Position]]="","",IF(Table_BDD[[#This Row],[Résultat]]="Perdant",1,0))</f>
        <v>1</v>
      </c>
      <c r="BK146" s="40"/>
      <c r="BL146" s="145" t="str">
        <f>IF(Table_BDD[[#This Row],[T / P]]="","",Table_BDD[[#This Row],[T / P]])</f>
        <v/>
      </c>
      <c r="BM146" s="147"/>
      <c r="BN146" s="147"/>
      <c r="BO146" s="147"/>
      <c r="BP146" s="147"/>
      <c r="BQ146" s="127"/>
    </row>
    <row r="147" spans="1:69" x14ac:dyDescent="0.2">
      <c r="A147" s="93">
        <v>43875.901701388888</v>
      </c>
      <c r="B147" s="94">
        <v>260008223</v>
      </c>
      <c r="C147" s="37" t="s">
        <v>8</v>
      </c>
      <c r="D147" s="37" t="s">
        <v>9</v>
      </c>
      <c r="E147" s="37">
        <v>0.45</v>
      </c>
      <c r="F147" s="95">
        <v>29351.15</v>
      </c>
      <c r="G147" s="95">
        <v>29352.65</v>
      </c>
      <c r="H147" s="95">
        <v>29590.13</v>
      </c>
      <c r="I147" s="93">
        <v>43878.349826388891</v>
      </c>
      <c r="J147" s="95">
        <v>29460.82</v>
      </c>
      <c r="K147" s="95">
        <v>0</v>
      </c>
      <c r="L147" s="95">
        <v>-3.69</v>
      </c>
      <c r="M147" s="32">
        <v>45.53</v>
      </c>
      <c r="N147" s="148">
        <f>IF(Table_BDD[[#This Row],[Position]]="","",ROW()-3)</f>
        <v>144</v>
      </c>
      <c r="O147" s="32">
        <f>SUM($L$4:M147)</f>
        <v>-183.14999999999998</v>
      </c>
      <c r="P147" s="32">
        <f>Table_BDD[[#This Row],[Equité avant trade]]+Table_BDD[[#This Row],[Profit]]+Table_BDD[[#This Row],[Echange]]</f>
        <v>816.85</v>
      </c>
      <c r="Q147" s="52">
        <f>INT(Table_BDD[[#This Row],[Horodatage cloture]])</f>
        <v>43878</v>
      </c>
      <c r="R147" s="34">
        <f>WEEKNUM(Table_BDD[[#This Row],[Horodatage cloture]],2)</f>
        <v>8</v>
      </c>
      <c r="S147" s="61">
        <f>WEEKDAY(Table_BDD[[#This Row],[Horodatage cloture]])</f>
        <v>2</v>
      </c>
      <c r="T147" s="63">
        <f>HOUR(Table_BDD[[#This Row],[Horodatage cloture]])</f>
        <v>8</v>
      </c>
      <c r="U147" s="68">
        <f>IF(Table_BDD[[#This Row],[Position]]="","",IF(Table_BDD[[#This Row],[Valeur début de journée unique]]&lt;&gt;0,1,0))</f>
        <v>1</v>
      </c>
      <c r="V147" s="68">
        <f>IF(Table_BDD[[#This Row],[Nb de séance de trading]]=1,COUNTIF(Table_BDD[Date],Table_BDD[[#This Row],[Date]]),"")</f>
        <v>2</v>
      </c>
      <c r="W147" s="33">
        <f>IF(Table_BDD[[#This Row],[Position]]="","",IF(Table_BDD[[#This Row],[Type]]="buy",ROUND(Table_BDD[[#This Row],[Lvl Entrée]]-Table_BDD[[#This Row],[S / L]],1),ROUND(Table_BDD[[#This Row],[S / L]]-Table_BDD[[#This Row],[Lvl Entrée]],1)))</f>
        <v>-1.5</v>
      </c>
      <c r="X147" s="33">
        <f>IF(Table_BDD[[#This Row],[Position]]="","",IF(Table_BDD[[#This Row],[T / P]]=0,200,IF(Table_BDD[[#This Row],[Type]]="buy",ROUND(Table_BDD[[#This Row],[T / P]]-Table_BDD[[#This Row],[Lvl Entrée]],1),ROUND(Table_BDD[[#This Row],[Lvl Entrée]]-Table_BDD[[#This Row],[T / P]],1))))</f>
        <v>239</v>
      </c>
      <c r="Y147" s="34">
        <f>IF(Table_BDD[[#This Row],[Position]]="","",IF(Table_BDD[[#This Row],[Ecart du SL]]&gt;0,ROUND(ABS(Table_BDD[[#This Row],[Ecart du TP]])/ABS(Table_BDD[[#This Row],[Ecart du SL]]),1),ROUND(ABS(Table_BDD[[#This Row],[Ecart du TP]])/10,1)))</f>
        <v>23.9</v>
      </c>
      <c r="Z147" s="34">
        <f>IF(Table_BDD[[#This Row],[Position]]="","",IF(Table_BDD[[#This Row],[Ecart du SL]]&lt;0,IF(AND(Table_BDD[[#This Row],[Profit]]&gt;0,Table_BDD[[#This Row],[Type]]="sell"),ROUND((Table_BDD[[#This Row],[Lvl Entrée]]-Table_BDD[[#This Row],[Lvl Sortie]])/(10),1),IF(AND(Table_BDD[[#This Row],[Profit]]&gt;0,Table_BDD[[#This Row],[Type]]="buy"),ROUND((Table_BDD[[#This Row],[Lvl Sortie]]-Table_BDD[[#This Row],[Lvl Entrée]])/(10),1),)),IF(AND(Table_BDD[[#This Row],[Profit]]&gt;0,Table_BDD[[#This Row],[Type]]="sell"),ROUND((Table_BDD[[#This Row],[Lvl Entrée]]-Table_BDD[[#This Row],[Lvl Sortie]])/(Table_BDD[[#This Row],[S / L]]-Table_BDD[[#This Row],[Lvl Entrée]]),1),IF(AND(Table_BDD[[#This Row],[Profit]]&gt;0,Table_BDD[[#This Row],[Type]]="buy"),ROUND((Table_BDD[[#This Row],[Lvl Sortie]]-Table_BDD[[#This Row],[Lvl Entrée]])/(Table_BDD[[#This Row],[Lvl Entrée]]-Table_BDD[[#This Row],[S / L]]),1),ROUND(Table_BDD[[#This Row],[Points]]/10,1)))))</f>
        <v>11</v>
      </c>
      <c r="AA147" s="32">
        <f>IF(Table_BDD[[#This Row],[Position]]="",AA146,Table_BDD[[#This Row],[Equité après trade]]-Table_BDD[[#This Row],[Profit]]-Table_BDD[[#This Row],[Echange]])</f>
        <v>775.0100000000001</v>
      </c>
      <c r="AB147" s="149">
        <f>$B$1+SUM($L$4:M147)</f>
        <v>816.85</v>
      </c>
      <c r="AC147" s="150">
        <f>IF(Table_BDD[[#This Row],[Position]]="","",_xlfn.MINIFS(Table_BDD[Horodatage ouverture],Table_BDD[Date],Table_BDD[Date]))</f>
        <v>43875.901701388888</v>
      </c>
      <c r="AD147" s="149">
        <f>VLOOKUP(_xlfn.MINIFS(Table_BDD[Horodatage ouverture],Table_BDD[Date],Table_BDD[Date]),Table_BDD[[Horodatage ouverture]:[Heure derniere valeur]],AA$2)</f>
        <v>775.0100000000001</v>
      </c>
      <c r="AE147" s="149">
        <f>IF(VLOOKUP(_xlfn.MINIFS(Table_BDD[Horodatage ouverture],Table_BDD[Date],Table_BDD[Date]),Table_BDD[[Horodatage ouverture]:[Heure derniere valeur]],AA$2)=Table_BDD[[#This Row],[Equité avant trade]],VLOOKUP(_xlfn.MINIFS(Table_BDD[Horodatage ouverture],Table_BDD[Date],Table_BDD[Date]),Table_BDD[[Horodatage ouverture]:[Heure derniere valeur]],AA$2),0)</f>
        <v>775.0100000000001</v>
      </c>
      <c r="AF147" s="150">
        <f>IF(Table_BDD[[#This Row],[Position]]="","",_xlfn.MAXIFS(Table_BDD[Horodatage ouverture],Table_BDD[Date],Table_BDD[Date]))</f>
        <v>43878.422372685185</v>
      </c>
      <c r="AG147" s="32">
        <f>VLOOKUP(_xlfn.MAXIFS(Table_BDD[Horodatage cloture],Table_BDD[Date],Table_BDD[Date]),Table_BDD[[Horodatage ouverture]:[Heure derniere valeur]],AB$2)</f>
        <v>817.34</v>
      </c>
      <c r="AH147" s="32">
        <f>IF(VLOOKUP(_xlfn.MAXIFS(Table_BDD[Horodatage cloture],Table_BDD[Date],Table_BDD[Date]),Table_BDD[[Horodatage ouverture]:[Heure derniere valeur]],AB$2)=Table_BDD[[#This Row],[Equité après trade]],VLOOKUP(_xlfn.MAXIFS(Table_BDD[Horodatage cloture],Table_BDD[Date],Table_BDD[Date]),Table_BDD[[Horodatage ouverture]:[Heure derniere valeur]],AB$2),0)</f>
        <v>0</v>
      </c>
      <c r="AI147" s="32" t="e">
        <f>IF(Table_BDD[[#This Row],[Valeur fin de journée unique]]=0,#N/A,Table_BDD[[#This Row],[Valeur fin de journée unique]])</f>
        <v>#N/A</v>
      </c>
      <c r="AJ147" s="35">
        <f>IF(Table_BDD[[#This Row],[Position]]="","",(Table_BDD[[#This Row],[Equité après trade]]-Table_BDD[[#This Row],[Equité avant trade]])/Table_BDD[[#This Row],[Equité avant trade]])</f>
        <v>5.3986400175481494E-2</v>
      </c>
      <c r="AK147" s="35">
        <f>IFERROR(((INDEX(Table_BDD[[Trade n°]:[Valeur fin de journée unique]],Table_BDD[[#This Row],[Nb de trade du jour]]+Table_BDD[[#This Row],[Trade n°]]-1,21))-Table_BDD[[#This Row],[Valeur début de journée unique]])/Table_BDD[[#This Row],[Valeur début de journée unique]],"")</f>
        <v>5.4618650081934325E-2</v>
      </c>
      <c r="AL147" s="32">
        <f>IF(Table_BDD[[#This Row],[Position]]="","",MAX(Table_BDD[[#This Row],[Cumul équité]],AL146))</f>
        <v>1052.8399999999999</v>
      </c>
      <c r="AM147" s="32">
        <f>IF(Table_BDD[[#This Row],[Position]]="","",MIN(Table_BDD[[#This Row],[Cumul équité]],AL146))</f>
        <v>816.85</v>
      </c>
      <c r="AN147" s="97">
        <f>IF(Table_BDD[[#This Row],[Sommet Drawdown]]&gt;AL146,"",Table_BDD[[#This Row],[Creux Drawdown]]/Table_BDD[[#This Row],[Sommet Drawdown]]-1)</f>
        <v>-0.22414611906842441</v>
      </c>
      <c r="AO147" s="36">
        <f>IF(Table_BDD[[#This Row],[Position]]="","",IF(Table_BDD[[#This Row],[Type]]="buy",ROUND(Table_BDD[[#This Row],[Lvl Sortie]]-Table_BDD[[#This Row],[Lvl Entrée]],1),ROUND(Table_BDD[[#This Row],[Lvl Entrée]]-Table_BDD[[#This Row],[Lvl Sortie]],1)))</f>
        <v>109.7</v>
      </c>
      <c r="AP147" s="36">
        <f>IF(Table_BDD[[#This Row],[Points]]&gt;0,Table_BDD[[#This Row],[Points]],"")</f>
        <v>109.7</v>
      </c>
      <c r="AQ147" s="36" t="str">
        <f>IF(Table_BDD[[#This Row],[Points]]&lt;0,Table_BDD[[#This Row],[Points]],"")</f>
        <v/>
      </c>
      <c r="AR147" s="36">
        <f>SUM($AO$4:AO147)</f>
        <v>-387.70000000000016</v>
      </c>
      <c r="AS147" s="68">
        <f>IF(Table_BDD[[#This Row],[Position]]="","",IF(Table_BDD[[#This Row],[Conformité]]="Conforme",1,0))</f>
        <v>0</v>
      </c>
      <c r="AT147" s="68">
        <f>IF(Table_BDD[[#This Row],[Position]]="","",IF(Table_BDD[[#This Row],[Conformité]]="Non conforme",1,0))</f>
        <v>1</v>
      </c>
      <c r="AU147" s="37" t="s">
        <v>17</v>
      </c>
      <c r="AV147" s="37"/>
      <c r="AW147" s="37"/>
      <c r="AX147" s="37">
        <v>0</v>
      </c>
      <c r="AY147" s="37">
        <v>0</v>
      </c>
      <c r="AZ147" s="37">
        <v>0</v>
      </c>
      <c r="BA147" s="40" t="str">
        <f>IF(Table_BDD[[#This Row],[Position]]="","Sans objet",IF(AND(Table_BDD[[#This Row],[Type]]="sell",Table_BDD[[#This Row],[S / L]]&lt;Table_BDD[[#This Row],[Lvl Entrée]],Table_BDD[[#This Row],[Lvl Sortie]]&lt;=Table_BDD[[#This Row],[S / L]]+2,Table_BDD[[#This Row],[Lvl Sortie]]&lt;Table_BDD[[#This Row],[Lvl Entrée]]-19),"Oui",IF(AND(Table_BDD[[#This Row],[Type]]="buy",Table_BDD[[#This Row],[S / L]]&gt;Table_BDD[[#This Row],[Lvl Entrée]],Table_BDD[[#This Row],[Lvl Sortie]]&gt;=Table_BDD[[#This Row],[S / L]]-2,Table_BDD[[#This Row],[S / L]]&gt;Table_BDD[[#This Row],[Lvl Entrée]]+19),"Oui","Non")))</f>
        <v>Non</v>
      </c>
      <c r="BB147" s="40" t="str">
        <f>IF(Table_BDD[[#This Row],[Position]]="","Sans objet",IF(AND(Table_BDD[[#This Row],[Type]]="sell",Table_BDD[[#This Row],[S / L]]&lt;Table_BDD[[#This Row],[Lvl Entrée]],Table_BDD[[#This Row],[Points]]&gt;=-1),"Oui",IF(AND(Table_BDD[[#This Row],[Type]]="sell",Table_BDD[[#This Row],[S / L]]&gt;Table_BDD[[#This Row],[Lvl Entrée]]),"Non",IF(AND(Table_BDD[[#This Row],[Type]]="buy",Table_BDD[[#This Row],[S / L]]&lt;Table_BDD[[#This Row],[Lvl Entrée]]),"Non",IF(AND(Table_BDD[[#This Row],[Type]]="buy",Table_BDD[[#This Row],[S / L]]&gt;Table_BDD[[#This Row],[Lvl Entrée]],Table_BDD[[#This Row],[Points]]&gt;=-1),"Oui")))))</f>
        <v>Oui</v>
      </c>
      <c r="BC147" s="40" t="str">
        <f>IF(Table_BDD[[#This Row],[Position]]="","Sans objet",IF(Table_BDD[[#This Row],[T / P]]="","Non",IF(AND(Table_BDD[[#This Row],[Type]]="sell",Table_BDD[[#This Row],[Lvl Sortie]]&lt;=Table_BDD[[#This Row],[T / P]]),"Oui",IF(AND(Table_BDD[[#This Row],[Type]]="buy",Table_BDD[[#This Row],[Lvl Sortie]]&gt;=Table_BDD[[#This Row],[T / P]]),"Oui","Non"))))</f>
        <v>Non</v>
      </c>
      <c r="BD147" s="91">
        <f t="array" ref="BD147">IFERROR(INDEX(downloadFile[#All],MATCH(Table_BDD[[#This Row],[Date]],downloadFile[[#All],[Column1]],0),2),BD146)</f>
        <v>1.0834999999999999</v>
      </c>
      <c r="BE147" s="89">
        <f>IF(Table_BDD[[#This Row],[Position]]="","",IF(Table_BDD[[#This Row],[Symbole]]="UsaInd",(Table_BDD[[#This Row],[Volume]]*Table_BDD[[#This Row],[Lvl Entrée]])/(Table_BDD[[#This Row],[Equité avant trade]]*Table_BDD[[#This Row],[EUR/USD]]),IF(Table_BDD[[#This Row],[Symbole]]="Ger30",(Table_BDD[[#This Row],[Volume]]*Table_BDD[[#This Row],[Lvl Entrée]])/Table_BDD[[#This Row],[Equité avant trade]],)))</f>
        <v>15.729010912862153</v>
      </c>
      <c r="BF147" s="38">
        <f>IF(Table_BDD[[#This Row],[Position]]="","",IF(Table_BDD[[#This Row],[Conformité]]="Non conforme",0,(MROUND(3*((Table_BDD[[#This Row],[Conviction]]+Table_BDD[[#This Row],[Timing]]+Table_BDD[[#This Row],[Sortie]])+1)-2,1))))</f>
        <v>0</v>
      </c>
      <c r="BG147" s="38" t="str">
        <f>IF(Table_BDD[[#This Row],[Position]]="","",IF(Table_BDD[[#This Row],[Points]]&lt;-5,"--",IF(AND(Table_BDD[[#This Row],[Points]]&gt;=-5,Table_BDD[[#This Row],[Points]]&lt;-1.5),"-",IF(AND(Table_BDD[[#This Row],[Points]]&gt;=-1.5,Table_BDD[[#This Row],[Points]]&lt;1.5),"0",IF(AND(Table_BDD[[#This Row],[Points]]&gt;=1.5,Table_BDD[[#This Row],[Points]]&lt;=70),"+",IF(Table_BDD[[#This Row],[Points]]&gt;70,"++"))))))</f>
        <v>++</v>
      </c>
      <c r="BH147" s="37" t="str">
        <f>IF(Table_BDD[[#This Row],[Position]]="","",IF(Table_BDD[[#This Row],[Points]]&gt;0,"Gagnant",IF(Table_BDD[[#This Row],[Points]]=0,"Flat","Perdant")))</f>
        <v>Gagnant</v>
      </c>
      <c r="BI147" s="40">
        <f>IF(Table_BDD[[#This Row],[Position]]="","",IF(Table_BDD[[#This Row],[Résultat]]="Gagnant",1,0))</f>
        <v>1</v>
      </c>
      <c r="BJ147" s="40">
        <f>IF(Table_BDD[[#This Row],[Position]]="","",IF(Table_BDD[[#This Row],[Résultat]]="Perdant",1,0))</f>
        <v>0</v>
      </c>
      <c r="BK147" s="40"/>
      <c r="BL147" s="145">
        <f>IF(Table_BDD[[#This Row],[T / P]]="","",Table_BDD[[#This Row],[T / P]])</f>
        <v>29590.13</v>
      </c>
      <c r="BM147" s="147"/>
      <c r="BN147" s="147"/>
      <c r="BO147" s="147"/>
      <c r="BP147" s="147"/>
      <c r="BQ147" s="127"/>
    </row>
    <row r="148" spans="1:69" x14ac:dyDescent="0.2">
      <c r="A148" s="93">
        <v>43878.422372685185</v>
      </c>
      <c r="B148" s="94">
        <v>260027469</v>
      </c>
      <c r="C148" s="37" t="s">
        <v>8</v>
      </c>
      <c r="D148" s="37" t="s">
        <v>9</v>
      </c>
      <c r="E148" s="37">
        <v>0.45</v>
      </c>
      <c r="F148" s="95">
        <v>29446.05</v>
      </c>
      <c r="G148" s="95">
        <v>29447.55</v>
      </c>
      <c r="H148" s="95">
        <v>29526.05</v>
      </c>
      <c r="I148" s="93">
        <v>43878.485243055555</v>
      </c>
      <c r="J148" s="95">
        <v>29447.22</v>
      </c>
      <c r="K148" s="95">
        <v>0</v>
      </c>
      <c r="L148" s="95">
        <v>0</v>
      </c>
      <c r="M148" s="32">
        <v>0.49</v>
      </c>
      <c r="N148" s="148">
        <f>IF(Table_BDD[[#This Row],[Position]]="","",ROW()-3)</f>
        <v>145</v>
      </c>
      <c r="O148" s="32">
        <f>SUM($L$4:M148)</f>
        <v>-182.65999999999997</v>
      </c>
      <c r="P148" s="32">
        <f>Table_BDD[[#This Row],[Equité avant trade]]+Table_BDD[[#This Row],[Profit]]+Table_BDD[[#This Row],[Echange]]</f>
        <v>817.34</v>
      </c>
      <c r="Q148" s="52">
        <f>INT(Table_BDD[[#This Row],[Horodatage cloture]])</f>
        <v>43878</v>
      </c>
      <c r="R148" s="34">
        <f>WEEKNUM(Table_BDD[[#This Row],[Horodatage cloture]],2)</f>
        <v>8</v>
      </c>
      <c r="S148" s="61">
        <f>WEEKDAY(Table_BDD[[#This Row],[Horodatage cloture]])</f>
        <v>2</v>
      </c>
      <c r="T148" s="63">
        <f>HOUR(Table_BDD[[#This Row],[Horodatage cloture]])</f>
        <v>11</v>
      </c>
      <c r="U148" s="68">
        <f>IF(Table_BDD[[#This Row],[Position]]="","",IF(Table_BDD[[#This Row],[Valeur début de journée unique]]&lt;&gt;0,1,0))</f>
        <v>0</v>
      </c>
      <c r="V148" s="68" t="str">
        <f>IF(Table_BDD[[#This Row],[Nb de séance de trading]]=1,COUNTIF(Table_BDD[Date],Table_BDD[[#This Row],[Date]]),"")</f>
        <v/>
      </c>
      <c r="W148" s="33">
        <f>IF(Table_BDD[[#This Row],[Position]]="","",IF(Table_BDD[[#This Row],[Type]]="buy",ROUND(Table_BDD[[#This Row],[Lvl Entrée]]-Table_BDD[[#This Row],[S / L]],1),ROUND(Table_BDD[[#This Row],[S / L]]-Table_BDD[[#This Row],[Lvl Entrée]],1)))</f>
        <v>-1.5</v>
      </c>
      <c r="X148" s="33">
        <f>IF(Table_BDD[[#This Row],[Position]]="","",IF(Table_BDD[[#This Row],[T / P]]=0,200,IF(Table_BDD[[#This Row],[Type]]="buy",ROUND(Table_BDD[[#This Row],[T / P]]-Table_BDD[[#This Row],[Lvl Entrée]],1),ROUND(Table_BDD[[#This Row],[Lvl Entrée]]-Table_BDD[[#This Row],[T / P]],1))))</f>
        <v>80</v>
      </c>
      <c r="Y148" s="34">
        <f>IF(Table_BDD[[#This Row],[Position]]="","",IF(Table_BDD[[#This Row],[Ecart du SL]]&gt;0,ROUND(ABS(Table_BDD[[#This Row],[Ecart du TP]])/ABS(Table_BDD[[#This Row],[Ecart du SL]]),1),ROUND(ABS(Table_BDD[[#This Row],[Ecart du TP]])/10,1)))</f>
        <v>8</v>
      </c>
      <c r="Z148" s="34">
        <f>IF(Table_BDD[[#This Row],[Position]]="","",IF(Table_BDD[[#This Row],[Ecart du SL]]&lt;0,IF(AND(Table_BDD[[#This Row],[Profit]]&gt;0,Table_BDD[[#This Row],[Type]]="sell"),ROUND((Table_BDD[[#This Row],[Lvl Entrée]]-Table_BDD[[#This Row],[Lvl Sortie]])/(10),1),IF(AND(Table_BDD[[#This Row],[Profit]]&gt;0,Table_BDD[[#This Row],[Type]]="buy"),ROUND((Table_BDD[[#This Row],[Lvl Sortie]]-Table_BDD[[#This Row],[Lvl Entrée]])/(10),1),)),IF(AND(Table_BDD[[#This Row],[Profit]]&gt;0,Table_BDD[[#This Row],[Type]]="sell"),ROUND((Table_BDD[[#This Row],[Lvl Entrée]]-Table_BDD[[#This Row],[Lvl Sortie]])/(Table_BDD[[#This Row],[S / L]]-Table_BDD[[#This Row],[Lvl Entrée]]),1),IF(AND(Table_BDD[[#This Row],[Profit]]&gt;0,Table_BDD[[#This Row],[Type]]="buy"),ROUND((Table_BDD[[#This Row],[Lvl Sortie]]-Table_BDD[[#This Row],[Lvl Entrée]])/(Table_BDD[[#This Row],[Lvl Entrée]]-Table_BDD[[#This Row],[S / L]]),1),ROUND(Table_BDD[[#This Row],[Points]]/10,1)))))</f>
        <v>0.1</v>
      </c>
      <c r="AA148" s="32">
        <f>IF(Table_BDD[[#This Row],[Position]]="",AA147,Table_BDD[[#This Row],[Equité après trade]]-Table_BDD[[#This Row],[Profit]]-Table_BDD[[#This Row],[Echange]])</f>
        <v>816.85</v>
      </c>
      <c r="AB148" s="149">
        <f>$B$1+SUM($L$4:M148)</f>
        <v>817.34</v>
      </c>
      <c r="AC148" s="150">
        <f>IF(Table_BDD[[#This Row],[Position]]="","",_xlfn.MINIFS(Table_BDD[Horodatage ouverture],Table_BDD[Date],Table_BDD[Date]))</f>
        <v>43875.901701388888</v>
      </c>
      <c r="AD148" s="149">
        <f>VLOOKUP(_xlfn.MINIFS(Table_BDD[Horodatage ouverture],Table_BDD[Date],Table_BDD[Date]),Table_BDD[[Horodatage ouverture]:[Heure derniere valeur]],AA$2)</f>
        <v>775.0100000000001</v>
      </c>
      <c r="AE148" s="149">
        <f>IF(VLOOKUP(_xlfn.MINIFS(Table_BDD[Horodatage ouverture],Table_BDD[Date],Table_BDD[Date]),Table_BDD[[Horodatage ouverture]:[Heure derniere valeur]],AA$2)=Table_BDD[[#This Row],[Equité avant trade]],VLOOKUP(_xlfn.MINIFS(Table_BDD[Horodatage ouverture],Table_BDD[Date],Table_BDD[Date]),Table_BDD[[Horodatage ouverture]:[Heure derniere valeur]],AA$2),0)</f>
        <v>0</v>
      </c>
      <c r="AF148" s="150">
        <f>IF(Table_BDD[[#This Row],[Position]]="","",_xlfn.MAXIFS(Table_BDD[Horodatage ouverture],Table_BDD[Date],Table_BDD[Date]))</f>
        <v>43878.422372685185</v>
      </c>
      <c r="AG148" s="32">
        <f>VLOOKUP(_xlfn.MAXIFS(Table_BDD[Horodatage cloture],Table_BDD[Date],Table_BDD[Date]),Table_BDD[[Horodatage ouverture]:[Heure derniere valeur]],AB$2)</f>
        <v>817.34</v>
      </c>
      <c r="AH148" s="32">
        <f>IF(VLOOKUP(_xlfn.MAXIFS(Table_BDD[Horodatage cloture],Table_BDD[Date],Table_BDD[Date]),Table_BDD[[Horodatage ouverture]:[Heure derniere valeur]],AB$2)=Table_BDD[[#This Row],[Equité après trade]],VLOOKUP(_xlfn.MAXIFS(Table_BDD[Horodatage cloture],Table_BDD[Date],Table_BDD[Date]),Table_BDD[[Horodatage ouverture]:[Heure derniere valeur]],AB$2),0)</f>
        <v>817.34</v>
      </c>
      <c r="AI148" s="32">
        <f>IF(Table_BDD[[#This Row],[Valeur fin de journée unique]]=0,#N/A,Table_BDD[[#This Row],[Valeur fin de journée unique]])</f>
        <v>817.34</v>
      </c>
      <c r="AJ148" s="35">
        <f>IF(Table_BDD[[#This Row],[Position]]="","",(Table_BDD[[#This Row],[Equité après trade]]-Table_BDD[[#This Row],[Equité avant trade]])/Table_BDD[[#This Row],[Equité avant trade]])</f>
        <v>5.9986533635307472E-4</v>
      </c>
      <c r="AK148" s="35" t="str">
        <f>IFERROR(((INDEX(Table_BDD[[Trade n°]:[Valeur fin de journée unique]],Table_BDD[[#This Row],[Nb de trade du jour]]+Table_BDD[[#This Row],[Trade n°]]-1,21))-Table_BDD[[#This Row],[Valeur début de journée unique]])/Table_BDD[[#This Row],[Valeur début de journée unique]],"")</f>
        <v/>
      </c>
      <c r="AL148" s="32">
        <f>IF(Table_BDD[[#This Row],[Position]]="","",MAX(Table_BDD[[#This Row],[Cumul équité]],AL147))</f>
        <v>1052.8399999999999</v>
      </c>
      <c r="AM148" s="32">
        <f>IF(Table_BDD[[#This Row],[Position]]="","",MIN(Table_BDD[[#This Row],[Cumul équité]],AL147))</f>
        <v>817.34</v>
      </c>
      <c r="AN148" s="97">
        <f>IF(Table_BDD[[#This Row],[Sommet Drawdown]]&gt;AL147,"",Table_BDD[[#This Row],[Creux Drawdown]]/Table_BDD[[#This Row],[Sommet Drawdown]]-1)</f>
        <v>-0.22368071121917854</v>
      </c>
      <c r="AO148" s="36">
        <f>IF(Table_BDD[[#This Row],[Position]]="","",IF(Table_BDD[[#This Row],[Type]]="buy",ROUND(Table_BDD[[#This Row],[Lvl Sortie]]-Table_BDD[[#This Row],[Lvl Entrée]],1),ROUND(Table_BDD[[#This Row],[Lvl Entrée]]-Table_BDD[[#This Row],[Lvl Sortie]],1)))</f>
        <v>1.2</v>
      </c>
      <c r="AP148" s="36">
        <f>IF(Table_BDD[[#This Row],[Points]]&gt;0,Table_BDD[[#This Row],[Points]],"")</f>
        <v>1.2</v>
      </c>
      <c r="AQ148" s="36" t="str">
        <f>IF(Table_BDD[[#This Row],[Points]]&lt;0,Table_BDD[[#This Row],[Points]],"")</f>
        <v/>
      </c>
      <c r="AR148" s="36">
        <f>SUM($AO$4:AO148)</f>
        <v>-386.50000000000017</v>
      </c>
      <c r="AS148" s="68">
        <f>IF(Table_BDD[[#This Row],[Position]]="","",IF(Table_BDD[[#This Row],[Conformité]]="Conforme",1,0))</f>
        <v>0</v>
      </c>
      <c r="AT148" s="68">
        <f>IF(Table_BDD[[#This Row],[Position]]="","",IF(Table_BDD[[#This Row],[Conformité]]="Non conforme",1,0))</f>
        <v>1</v>
      </c>
      <c r="AU148" s="37" t="s">
        <v>17</v>
      </c>
      <c r="AV148" s="37"/>
      <c r="AW148" s="37"/>
      <c r="AX148" s="37">
        <v>0</v>
      </c>
      <c r="AY148" s="37">
        <v>0</v>
      </c>
      <c r="AZ148" s="37">
        <v>0</v>
      </c>
      <c r="BA148" s="40" t="str">
        <f>IF(Table_BDD[[#This Row],[Position]]="","Sans objet",IF(AND(Table_BDD[[#This Row],[Type]]="sell",Table_BDD[[#This Row],[S / L]]&lt;Table_BDD[[#This Row],[Lvl Entrée]],Table_BDD[[#This Row],[Lvl Sortie]]&lt;=Table_BDD[[#This Row],[S / L]]+2,Table_BDD[[#This Row],[Lvl Sortie]]&lt;Table_BDD[[#This Row],[Lvl Entrée]]-19),"Oui",IF(AND(Table_BDD[[#This Row],[Type]]="buy",Table_BDD[[#This Row],[S / L]]&gt;Table_BDD[[#This Row],[Lvl Entrée]],Table_BDD[[#This Row],[Lvl Sortie]]&gt;=Table_BDD[[#This Row],[S / L]]-2,Table_BDD[[#This Row],[S / L]]&gt;Table_BDD[[#This Row],[Lvl Entrée]]+19),"Oui","Non")))</f>
        <v>Non</v>
      </c>
      <c r="BB148" s="40" t="str">
        <f>IF(Table_BDD[[#This Row],[Position]]="","Sans objet",IF(AND(Table_BDD[[#This Row],[Type]]="sell",Table_BDD[[#This Row],[S / L]]&lt;Table_BDD[[#This Row],[Lvl Entrée]],Table_BDD[[#This Row],[Points]]&gt;=-1),"Oui",IF(AND(Table_BDD[[#This Row],[Type]]="sell",Table_BDD[[#This Row],[S / L]]&gt;Table_BDD[[#This Row],[Lvl Entrée]]),"Non",IF(AND(Table_BDD[[#This Row],[Type]]="buy",Table_BDD[[#This Row],[S / L]]&lt;Table_BDD[[#This Row],[Lvl Entrée]]),"Non",IF(AND(Table_BDD[[#This Row],[Type]]="buy",Table_BDD[[#This Row],[S / L]]&gt;Table_BDD[[#This Row],[Lvl Entrée]],Table_BDD[[#This Row],[Points]]&gt;=-1),"Oui")))))</f>
        <v>Oui</v>
      </c>
      <c r="BC148" s="40" t="str">
        <f>IF(Table_BDD[[#This Row],[Position]]="","Sans objet",IF(Table_BDD[[#This Row],[T / P]]="","Non",IF(AND(Table_BDD[[#This Row],[Type]]="sell",Table_BDD[[#This Row],[Lvl Sortie]]&lt;=Table_BDD[[#This Row],[T / P]]),"Oui",IF(AND(Table_BDD[[#This Row],[Type]]="buy",Table_BDD[[#This Row],[Lvl Sortie]]&gt;=Table_BDD[[#This Row],[T / P]]),"Oui","Non"))))</f>
        <v>Non</v>
      </c>
      <c r="BD148" s="91">
        <f t="array" ref="BD148">IFERROR(INDEX(downloadFile[#All],MATCH(Table_BDD[[#This Row],[Date]],downloadFile[[#All],[Column1]],0),2),BD147)</f>
        <v>1.0834999999999999</v>
      </c>
      <c r="BE148" s="89">
        <f>IF(Table_BDD[[#This Row],[Position]]="","",IF(Table_BDD[[#This Row],[Symbole]]="UsaInd",(Table_BDD[[#This Row],[Volume]]*Table_BDD[[#This Row],[Lvl Entrée]])/(Table_BDD[[#This Row],[Equité avant trade]]*Table_BDD[[#This Row],[EUR/USD]]),IF(Table_BDD[[#This Row],[Symbole]]="Ger30",(Table_BDD[[#This Row],[Volume]]*Table_BDD[[#This Row],[Lvl Entrée]])/Table_BDD[[#This Row],[Equité avant trade]],)))</f>
        <v>14.971603946740265</v>
      </c>
      <c r="BF148" s="38">
        <f>IF(Table_BDD[[#This Row],[Position]]="","",IF(Table_BDD[[#This Row],[Conformité]]="Non conforme",0,(MROUND(3*((Table_BDD[[#This Row],[Conviction]]+Table_BDD[[#This Row],[Timing]]+Table_BDD[[#This Row],[Sortie]])+1)-2,1))))</f>
        <v>0</v>
      </c>
      <c r="BG148" s="38" t="str">
        <f>IF(Table_BDD[[#This Row],[Position]]="","",IF(Table_BDD[[#This Row],[Points]]&lt;-5,"--",IF(AND(Table_BDD[[#This Row],[Points]]&gt;=-5,Table_BDD[[#This Row],[Points]]&lt;-1.5),"-",IF(AND(Table_BDD[[#This Row],[Points]]&gt;=-1.5,Table_BDD[[#This Row],[Points]]&lt;1.5),"0",IF(AND(Table_BDD[[#This Row],[Points]]&gt;=1.5,Table_BDD[[#This Row],[Points]]&lt;=70),"+",IF(Table_BDD[[#This Row],[Points]]&gt;70,"++"))))))</f>
        <v>0</v>
      </c>
      <c r="BH148" s="37" t="str">
        <f>IF(Table_BDD[[#This Row],[Position]]="","",IF(Table_BDD[[#This Row],[Points]]&gt;0,"Gagnant",IF(Table_BDD[[#This Row],[Points]]=0,"Flat","Perdant")))</f>
        <v>Gagnant</v>
      </c>
      <c r="BI148" s="40">
        <f>IF(Table_BDD[[#This Row],[Position]]="","",IF(Table_BDD[[#This Row],[Résultat]]="Gagnant",1,0))</f>
        <v>1</v>
      </c>
      <c r="BJ148" s="40">
        <f>IF(Table_BDD[[#This Row],[Position]]="","",IF(Table_BDD[[#This Row],[Résultat]]="Perdant",1,0))</f>
        <v>0</v>
      </c>
      <c r="BK148" s="40"/>
      <c r="BL148" s="145">
        <f>IF(Table_BDD[[#This Row],[T / P]]="","",Table_BDD[[#This Row],[T / P]])</f>
        <v>29526.05</v>
      </c>
      <c r="BM148" s="147"/>
      <c r="BN148" s="147"/>
      <c r="BO148" s="147"/>
      <c r="BP148" s="147"/>
      <c r="BQ148" s="127"/>
    </row>
    <row r="149" spans="1:69" x14ac:dyDescent="0.2">
      <c r="A149" s="93">
        <v>43879.671631944446</v>
      </c>
      <c r="B149" s="94">
        <v>260150049</v>
      </c>
      <c r="C149" s="37" t="s">
        <v>8</v>
      </c>
      <c r="D149" s="37" t="s">
        <v>9</v>
      </c>
      <c r="E149" s="37">
        <v>0.45</v>
      </c>
      <c r="F149" s="95">
        <v>29292.39</v>
      </c>
      <c r="G149" s="95">
        <v>29282.39</v>
      </c>
      <c r="H149" s="95">
        <v>29392.39</v>
      </c>
      <c r="I149" s="93">
        <v>43879.674062500002</v>
      </c>
      <c r="J149" s="95">
        <v>29293.05</v>
      </c>
      <c r="K149" s="95">
        <v>0</v>
      </c>
      <c r="L149" s="95">
        <v>0</v>
      </c>
      <c r="M149" s="32">
        <v>0.28000000000000003</v>
      </c>
      <c r="N149" s="148">
        <f>IF(Table_BDD[[#This Row],[Position]]="","",ROW()-3)</f>
        <v>146</v>
      </c>
      <c r="O149" s="32">
        <f>SUM($L$4:M149)</f>
        <v>-182.37999999999997</v>
      </c>
      <c r="P149" s="32">
        <f>Table_BDD[[#This Row],[Equité avant trade]]+Table_BDD[[#This Row],[Profit]]+Table_BDD[[#This Row],[Echange]]</f>
        <v>817.62</v>
      </c>
      <c r="Q149" s="52">
        <f>INT(Table_BDD[[#This Row],[Horodatage cloture]])</f>
        <v>43879</v>
      </c>
      <c r="R149" s="34">
        <f>WEEKNUM(Table_BDD[[#This Row],[Horodatage cloture]],2)</f>
        <v>8</v>
      </c>
      <c r="S149" s="61">
        <f>WEEKDAY(Table_BDD[[#This Row],[Horodatage cloture]])</f>
        <v>3</v>
      </c>
      <c r="T149" s="63">
        <f>HOUR(Table_BDD[[#This Row],[Horodatage cloture]])</f>
        <v>16</v>
      </c>
      <c r="U149" s="68">
        <f>IF(Table_BDD[[#This Row],[Position]]="","",IF(Table_BDD[[#This Row],[Valeur début de journée unique]]&lt;&gt;0,1,0))</f>
        <v>1</v>
      </c>
      <c r="V149" s="68">
        <f>IF(Table_BDD[[#This Row],[Nb de séance de trading]]=1,COUNTIF(Table_BDD[Date],Table_BDD[[#This Row],[Date]]),"")</f>
        <v>9</v>
      </c>
      <c r="W149" s="33">
        <f>IF(Table_BDD[[#This Row],[Position]]="","",IF(Table_BDD[[#This Row],[Type]]="buy",ROUND(Table_BDD[[#This Row],[Lvl Entrée]]-Table_BDD[[#This Row],[S / L]],1),ROUND(Table_BDD[[#This Row],[S / L]]-Table_BDD[[#This Row],[Lvl Entrée]],1)))</f>
        <v>10</v>
      </c>
      <c r="X149" s="33">
        <f>IF(Table_BDD[[#This Row],[Position]]="","",IF(Table_BDD[[#This Row],[T / P]]=0,200,IF(Table_BDD[[#This Row],[Type]]="buy",ROUND(Table_BDD[[#This Row],[T / P]]-Table_BDD[[#This Row],[Lvl Entrée]],1),ROUND(Table_BDD[[#This Row],[Lvl Entrée]]-Table_BDD[[#This Row],[T / P]],1))))</f>
        <v>100</v>
      </c>
      <c r="Y149" s="34">
        <f>IF(Table_BDD[[#This Row],[Position]]="","",IF(Table_BDD[[#This Row],[Ecart du SL]]&gt;0,ROUND(ABS(Table_BDD[[#This Row],[Ecart du TP]])/ABS(Table_BDD[[#This Row],[Ecart du SL]]),1),ROUND(ABS(Table_BDD[[#This Row],[Ecart du TP]])/10,1)))</f>
        <v>10</v>
      </c>
      <c r="Z149" s="34">
        <f>IF(Table_BDD[[#This Row],[Position]]="","",IF(Table_BDD[[#This Row],[Ecart du SL]]&lt;0,IF(AND(Table_BDD[[#This Row],[Profit]]&gt;0,Table_BDD[[#This Row],[Type]]="sell"),ROUND((Table_BDD[[#This Row],[Lvl Entrée]]-Table_BDD[[#This Row],[Lvl Sortie]])/(10),1),IF(AND(Table_BDD[[#This Row],[Profit]]&gt;0,Table_BDD[[#This Row],[Type]]="buy"),ROUND((Table_BDD[[#This Row],[Lvl Sortie]]-Table_BDD[[#This Row],[Lvl Entrée]])/(10),1),)),IF(AND(Table_BDD[[#This Row],[Profit]]&gt;0,Table_BDD[[#This Row],[Type]]="sell"),ROUND((Table_BDD[[#This Row],[Lvl Entrée]]-Table_BDD[[#This Row],[Lvl Sortie]])/(Table_BDD[[#This Row],[S / L]]-Table_BDD[[#This Row],[Lvl Entrée]]),1),IF(AND(Table_BDD[[#This Row],[Profit]]&gt;0,Table_BDD[[#This Row],[Type]]="buy"),ROUND((Table_BDD[[#This Row],[Lvl Sortie]]-Table_BDD[[#This Row],[Lvl Entrée]])/(Table_BDD[[#This Row],[Lvl Entrée]]-Table_BDD[[#This Row],[S / L]]),1),ROUND(Table_BDD[[#This Row],[Points]]/10,1)))))</f>
        <v>0.1</v>
      </c>
      <c r="AA149" s="32">
        <f>IF(Table_BDD[[#This Row],[Position]]="",AA148,Table_BDD[[#This Row],[Equité après trade]]-Table_BDD[[#This Row],[Profit]]-Table_BDD[[#This Row],[Echange]])</f>
        <v>817.34</v>
      </c>
      <c r="AB149" s="149">
        <f>$B$1+SUM($L$4:M149)</f>
        <v>817.62</v>
      </c>
      <c r="AC149" s="150">
        <f>IF(Table_BDD[[#This Row],[Position]]="","",_xlfn.MINIFS(Table_BDD[Horodatage ouverture],Table_BDD[Date],Table_BDD[Date]))</f>
        <v>43879.671631944446</v>
      </c>
      <c r="AD149" s="149">
        <f>VLOOKUP(_xlfn.MINIFS(Table_BDD[Horodatage ouverture],Table_BDD[Date],Table_BDD[Date]),Table_BDD[[Horodatage ouverture]:[Heure derniere valeur]],AA$2)</f>
        <v>817.34</v>
      </c>
      <c r="AE149" s="149">
        <f>IF(VLOOKUP(_xlfn.MINIFS(Table_BDD[Horodatage ouverture],Table_BDD[Date],Table_BDD[Date]),Table_BDD[[Horodatage ouverture]:[Heure derniere valeur]],AA$2)=Table_BDD[[#This Row],[Equité avant trade]],VLOOKUP(_xlfn.MINIFS(Table_BDD[Horodatage ouverture],Table_BDD[Date],Table_BDD[Date]),Table_BDD[[Horodatage ouverture]:[Heure derniere valeur]],AA$2),0)</f>
        <v>817.34</v>
      </c>
      <c r="AF149" s="150">
        <f>IF(Table_BDD[[#This Row],[Position]]="","",_xlfn.MAXIFS(Table_BDD[Horodatage ouverture],Table_BDD[Date],Table_BDD[Date]))</f>
        <v>43879.751585648148</v>
      </c>
      <c r="AG149" s="32">
        <f>VLOOKUP(_xlfn.MAXIFS(Table_BDD[Horodatage cloture],Table_BDD[Date],Table_BDD[Date]),Table_BDD[[Horodatage ouverture]:[Heure derniere valeur]],AB$2)</f>
        <v>831.72</v>
      </c>
      <c r="AH149" s="32">
        <f>IF(VLOOKUP(_xlfn.MAXIFS(Table_BDD[Horodatage cloture],Table_BDD[Date],Table_BDD[Date]),Table_BDD[[Horodatage ouverture]:[Heure derniere valeur]],AB$2)=Table_BDD[[#This Row],[Equité après trade]],VLOOKUP(_xlfn.MAXIFS(Table_BDD[Horodatage cloture],Table_BDD[Date],Table_BDD[Date]),Table_BDD[[Horodatage ouverture]:[Heure derniere valeur]],AB$2),0)</f>
        <v>0</v>
      </c>
      <c r="AI149" s="32" t="e">
        <f>IF(Table_BDD[[#This Row],[Valeur fin de journée unique]]=0,#N/A,Table_BDD[[#This Row],[Valeur fin de journée unique]])</f>
        <v>#N/A</v>
      </c>
      <c r="AJ149" s="35">
        <f>IF(Table_BDD[[#This Row],[Position]]="","",(Table_BDD[[#This Row],[Equité après trade]]-Table_BDD[[#This Row],[Equité avant trade]])/Table_BDD[[#This Row],[Equité avant trade]])</f>
        <v>3.4257469351796403E-4</v>
      </c>
      <c r="AK149" s="35">
        <f>IFERROR(((INDEX(Table_BDD[[Trade n°]:[Valeur fin de journée unique]],Table_BDD[[#This Row],[Nb de trade du jour]]+Table_BDD[[#This Row],[Trade n°]]-1,21))-Table_BDD[[#This Row],[Valeur début de journée unique]])/Table_BDD[[#This Row],[Valeur début de journée unique]],"")</f>
        <v>1.7593657474245718E-2</v>
      </c>
      <c r="AL149" s="32">
        <f>IF(Table_BDD[[#This Row],[Position]]="","",MAX(Table_BDD[[#This Row],[Cumul équité]],AL148))</f>
        <v>1052.8399999999999</v>
      </c>
      <c r="AM149" s="32">
        <f>IF(Table_BDD[[#This Row],[Position]]="","",MIN(Table_BDD[[#This Row],[Cumul équité]],AL148))</f>
        <v>817.62</v>
      </c>
      <c r="AN149" s="97">
        <f>IF(Table_BDD[[#This Row],[Sommet Drawdown]]&gt;AL148,"",Table_BDD[[#This Row],[Creux Drawdown]]/Table_BDD[[#This Row],[Sommet Drawdown]]-1)</f>
        <v>-0.2234147638767523</v>
      </c>
      <c r="AO149" s="36">
        <f>IF(Table_BDD[[#This Row],[Position]]="","",IF(Table_BDD[[#This Row],[Type]]="buy",ROUND(Table_BDD[[#This Row],[Lvl Sortie]]-Table_BDD[[#This Row],[Lvl Entrée]],1),ROUND(Table_BDD[[#This Row],[Lvl Entrée]]-Table_BDD[[#This Row],[Lvl Sortie]],1)))</f>
        <v>0.7</v>
      </c>
      <c r="AP149" s="36">
        <f>IF(Table_BDD[[#This Row],[Points]]&gt;0,Table_BDD[[#This Row],[Points]],"")</f>
        <v>0.7</v>
      </c>
      <c r="AQ149" s="36" t="str">
        <f>IF(Table_BDD[[#This Row],[Points]]&lt;0,Table_BDD[[#This Row],[Points]],"")</f>
        <v/>
      </c>
      <c r="AR149" s="36">
        <f>SUM($AO$4:AO149)</f>
        <v>-385.80000000000018</v>
      </c>
      <c r="AS149" s="68">
        <f>IF(Table_BDD[[#This Row],[Position]]="","",IF(Table_BDD[[#This Row],[Conformité]]="Conforme",1,0))</f>
        <v>0</v>
      </c>
      <c r="AT149" s="68">
        <f>IF(Table_BDD[[#This Row],[Position]]="","",IF(Table_BDD[[#This Row],[Conformité]]="Non conforme",1,0))</f>
        <v>1</v>
      </c>
      <c r="AU149" s="37" t="s">
        <v>17</v>
      </c>
      <c r="AV149" s="37"/>
      <c r="AW149" s="37"/>
      <c r="AX149" s="37">
        <v>0</v>
      </c>
      <c r="AY149" s="37">
        <v>0</v>
      </c>
      <c r="AZ149" s="37">
        <v>0</v>
      </c>
      <c r="BA149" s="40" t="str">
        <f>IF(Table_BDD[[#This Row],[Position]]="","Sans objet",IF(AND(Table_BDD[[#This Row],[Type]]="sell",Table_BDD[[#This Row],[S / L]]&lt;Table_BDD[[#This Row],[Lvl Entrée]],Table_BDD[[#This Row],[Lvl Sortie]]&lt;=Table_BDD[[#This Row],[S / L]]+2,Table_BDD[[#This Row],[Lvl Sortie]]&lt;Table_BDD[[#This Row],[Lvl Entrée]]-19),"Oui",IF(AND(Table_BDD[[#This Row],[Type]]="buy",Table_BDD[[#This Row],[S / L]]&gt;Table_BDD[[#This Row],[Lvl Entrée]],Table_BDD[[#This Row],[Lvl Sortie]]&gt;=Table_BDD[[#This Row],[S / L]]-2,Table_BDD[[#This Row],[S / L]]&gt;Table_BDD[[#This Row],[Lvl Entrée]]+19),"Oui","Non")))</f>
        <v>Non</v>
      </c>
      <c r="BB149" s="40" t="str">
        <f>IF(Table_BDD[[#This Row],[Position]]="","Sans objet",IF(AND(Table_BDD[[#This Row],[Type]]="sell",Table_BDD[[#This Row],[S / L]]&lt;Table_BDD[[#This Row],[Lvl Entrée]],Table_BDD[[#This Row],[Points]]&gt;=-1),"Oui",IF(AND(Table_BDD[[#This Row],[Type]]="sell",Table_BDD[[#This Row],[S / L]]&gt;Table_BDD[[#This Row],[Lvl Entrée]]),"Non",IF(AND(Table_BDD[[#This Row],[Type]]="buy",Table_BDD[[#This Row],[S / L]]&lt;Table_BDD[[#This Row],[Lvl Entrée]]),"Non",IF(AND(Table_BDD[[#This Row],[Type]]="buy",Table_BDD[[#This Row],[S / L]]&gt;Table_BDD[[#This Row],[Lvl Entrée]],Table_BDD[[#This Row],[Points]]&gt;=-1),"Oui")))))</f>
        <v>Non</v>
      </c>
      <c r="BC149" s="40" t="str">
        <f>IF(Table_BDD[[#This Row],[Position]]="","Sans objet",IF(Table_BDD[[#This Row],[T / P]]="","Non",IF(AND(Table_BDD[[#This Row],[Type]]="sell",Table_BDD[[#This Row],[Lvl Sortie]]&lt;=Table_BDD[[#This Row],[T / P]]),"Oui",IF(AND(Table_BDD[[#This Row],[Type]]="buy",Table_BDD[[#This Row],[Lvl Sortie]]&gt;=Table_BDD[[#This Row],[T / P]]),"Oui","Non"))))</f>
        <v>Non</v>
      </c>
      <c r="BD149" s="91">
        <f t="array" ref="BD149">IFERROR(INDEX(downloadFile[#All],MATCH(Table_BDD[[#This Row],[Date]],downloadFile[[#All],[Column1]],0),2),BD148)</f>
        <v>1.0815999999999999</v>
      </c>
      <c r="BE149" s="89">
        <f>IF(Table_BDD[[#This Row],[Position]]="","",IF(Table_BDD[[#This Row],[Symbole]]="UsaInd",(Table_BDD[[#This Row],[Volume]]*Table_BDD[[#This Row],[Lvl Entrée]])/(Table_BDD[[#This Row],[Equité avant trade]]*Table_BDD[[#This Row],[EUR/USD]]),IF(Table_BDD[[#This Row],[Symbole]]="Ger30",(Table_BDD[[#This Row],[Volume]]*Table_BDD[[#This Row],[Lvl Entrée]])/Table_BDD[[#This Row],[Equité avant trade]],)))</f>
        <v>14.910695091256484</v>
      </c>
      <c r="BF149" s="38">
        <f>IF(Table_BDD[[#This Row],[Position]]="","",IF(Table_BDD[[#This Row],[Conformité]]="Non conforme",0,(MROUND(3*((Table_BDD[[#This Row],[Conviction]]+Table_BDD[[#This Row],[Timing]]+Table_BDD[[#This Row],[Sortie]])+1)-2,1))))</f>
        <v>0</v>
      </c>
      <c r="BG149" s="38" t="str">
        <f>IF(Table_BDD[[#This Row],[Position]]="","",IF(Table_BDD[[#This Row],[Points]]&lt;-5,"--",IF(AND(Table_BDD[[#This Row],[Points]]&gt;=-5,Table_BDD[[#This Row],[Points]]&lt;-1.5),"-",IF(AND(Table_BDD[[#This Row],[Points]]&gt;=-1.5,Table_BDD[[#This Row],[Points]]&lt;1.5),"0",IF(AND(Table_BDD[[#This Row],[Points]]&gt;=1.5,Table_BDD[[#This Row],[Points]]&lt;=70),"+",IF(Table_BDD[[#This Row],[Points]]&gt;70,"++"))))))</f>
        <v>0</v>
      </c>
      <c r="BH149" s="37" t="str">
        <f>IF(Table_BDD[[#This Row],[Position]]="","",IF(Table_BDD[[#This Row],[Points]]&gt;0,"Gagnant",IF(Table_BDD[[#This Row],[Points]]=0,"Flat","Perdant")))</f>
        <v>Gagnant</v>
      </c>
      <c r="BI149" s="40">
        <f>IF(Table_BDD[[#This Row],[Position]]="","",IF(Table_BDD[[#This Row],[Résultat]]="Gagnant",1,0))</f>
        <v>1</v>
      </c>
      <c r="BJ149" s="40">
        <f>IF(Table_BDD[[#This Row],[Position]]="","",IF(Table_BDD[[#This Row],[Résultat]]="Perdant",1,0))</f>
        <v>0</v>
      </c>
      <c r="BK149" s="40"/>
      <c r="BL149" s="145">
        <f>IF(Table_BDD[[#This Row],[T / P]]="","",Table_BDD[[#This Row],[T / P]])</f>
        <v>29392.39</v>
      </c>
      <c r="BM149" s="147"/>
      <c r="BN149" s="147"/>
      <c r="BO149" s="147"/>
      <c r="BP149" s="147"/>
      <c r="BQ149" s="127"/>
    </row>
    <row r="150" spans="1:69" x14ac:dyDescent="0.2">
      <c r="A150" s="93">
        <v>43879.691006944442</v>
      </c>
      <c r="B150" s="94">
        <v>260153963</v>
      </c>
      <c r="C150" s="37" t="s">
        <v>8</v>
      </c>
      <c r="D150" s="37" t="s">
        <v>10</v>
      </c>
      <c r="E150" s="37">
        <v>0.45</v>
      </c>
      <c r="F150" s="95">
        <v>29210.14</v>
      </c>
      <c r="G150" s="95">
        <v>29208.639999999999</v>
      </c>
      <c r="H150" s="95">
        <v>29145.14</v>
      </c>
      <c r="I150" s="93">
        <v>43879.692604166667</v>
      </c>
      <c r="J150" s="95">
        <v>29211.1</v>
      </c>
      <c r="K150" s="95">
        <v>0</v>
      </c>
      <c r="L150" s="95">
        <v>0</v>
      </c>
      <c r="M150" s="32">
        <v>-0.4</v>
      </c>
      <c r="N150" s="148">
        <f>IF(Table_BDD[[#This Row],[Position]]="","",ROW()-3)</f>
        <v>147</v>
      </c>
      <c r="O150" s="32">
        <f>SUM($L$4:M150)</f>
        <v>-182.77999999999997</v>
      </c>
      <c r="P150" s="32">
        <f>Table_BDD[[#This Row],[Equité avant trade]]+Table_BDD[[#This Row],[Profit]]+Table_BDD[[#This Row],[Echange]]</f>
        <v>817.22</v>
      </c>
      <c r="Q150" s="52">
        <f>INT(Table_BDD[[#This Row],[Horodatage cloture]])</f>
        <v>43879</v>
      </c>
      <c r="R150" s="34">
        <f>WEEKNUM(Table_BDD[[#This Row],[Horodatage cloture]],2)</f>
        <v>8</v>
      </c>
      <c r="S150" s="61">
        <f>WEEKDAY(Table_BDD[[#This Row],[Horodatage cloture]])</f>
        <v>3</v>
      </c>
      <c r="T150" s="63">
        <f>HOUR(Table_BDD[[#This Row],[Horodatage cloture]])</f>
        <v>16</v>
      </c>
      <c r="U150" s="68">
        <f>IF(Table_BDD[[#This Row],[Position]]="","",IF(Table_BDD[[#This Row],[Valeur début de journée unique]]&lt;&gt;0,1,0))</f>
        <v>0</v>
      </c>
      <c r="V150" s="68" t="str">
        <f>IF(Table_BDD[[#This Row],[Nb de séance de trading]]=1,COUNTIF(Table_BDD[Date],Table_BDD[[#This Row],[Date]]),"")</f>
        <v/>
      </c>
      <c r="W150" s="33">
        <f>IF(Table_BDD[[#This Row],[Position]]="","",IF(Table_BDD[[#This Row],[Type]]="buy",ROUND(Table_BDD[[#This Row],[Lvl Entrée]]-Table_BDD[[#This Row],[S / L]],1),ROUND(Table_BDD[[#This Row],[S / L]]-Table_BDD[[#This Row],[Lvl Entrée]],1)))</f>
        <v>-1.5</v>
      </c>
      <c r="X150" s="33">
        <f>IF(Table_BDD[[#This Row],[Position]]="","",IF(Table_BDD[[#This Row],[T / P]]=0,200,IF(Table_BDD[[#This Row],[Type]]="buy",ROUND(Table_BDD[[#This Row],[T / P]]-Table_BDD[[#This Row],[Lvl Entrée]],1),ROUND(Table_BDD[[#This Row],[Lvl Entrée]]-Table_BDD[[#This Row],[T / P]],1))))</f>
        <v>65</v>
      </c>
      <c r="Y150" s="34">
        <f>IF(Table_BDD[[#This Row],[Position]]="","",IF(Table_BDD[[#This Row],[Ecart du SL]]&gt;0,ROUND(ABS(Table_BDD[[#This Row],[Ecart du TP]])/ABS(Table_BDD[[#This Row],[Ecart du SL]]),1),ROUND(ABS(Table_BDD[[#This Row],[Ecart du TP]])/10,1)))</f>
        <v>6.5</v>
      </c>
      <c r="Z150" s="34">
        <f>IF(Table_BDD[[#This Row],[Position]]="","",IF(Table_BDD[[#This Row],[Ecart du SL]]&lt;0,IF(AND(Table_BDD[[#This Row],[Profit]]&gt;0,Table_BDD[[#This Row],[Type]]="sell"),ROUND((Table_BDD[[#This Row],[Lvl Entrée]]-Table_BDD[[#This Row],[Lvl Sortie]])/(10),1),IF(AND(Table_BDD[[#This Row],[Profit]]&gt;0,Table_BDD[[#This Row],[Type]]="buy"),ROUND((Table_BDD[[#This Row],[Lvl Sortie]]-Table_BDD[[#This Row],[Lvl Entrée]])/(10),1),)),IF(AND(Table_BDD[[#This Row],[Profit]]&gt;0,Table_BDD[[#This Row],[Type]]="sell"),ROUND((Table_BDD[[#This Row],[Lvl Entrée]]-Table_BDD[[#This Row],[Lvl Sortie]])/(Table_BDD[[#This Row],[S / L]]-Table_BDD[[#This Row],[Lvl Entrée]]),1),IF(AND(Table_BDD[[#This Row],[Profit]]&gt;0,Table_BDD[[#This Row],[Type]]="buy"),ROUND((Table_BDD[[#This Row],[Lvl Sortie]]-Table_BDD[[#This Row],[Lvl Entrée]])/(Table_BDD[[#This Row],[Lvl Entrée]]-Table_BDD[[#This Row],[S / L]]),1),ROUND(Table_BDD[[#This Row],[Points]]/10,1)))))</f>
        <v>0</v>
      </c>
      <c r="AA150" s="32">
        <f>IF(Table_BDD[[#This Row],[Position]]="",AA149,Table_BDD[[#This Row],[Equité après trade]]-Table_BDD[[#This Row],[Profit]]-Table_BDD[[#This Row],[Echange]])</f>
        <v>817.62</v>
      </c>
      <c r="AB150" s="149">
        <f>$B$1+SUM($L$4:M150)</f>
        <v>817.22</v>
      </c>
      <c r="AC150" s="150">
        <f>IF(Table_BDD[[#This Row],[Position]]="","",_xlfn.MINIFS(Table_BDD[Horodatage ouverture],Table_BDD[Date],Table_BDD[Date]))</f>
        <v>43879.671631944446</v>
      </c>
      <c r="AD150" s="149">
        <f>VLOOKUP(_xlfn.MINIFS(Table_BDD[Horodatage ouverture],Table_BDD[Date],Table_BDD[Date]),Table_BDD[[Horodatage ouverture]:[Heure derniere valeur]],AA$2)</f>
        <v>817.34</v>
      </c>
      <c r="AE150" s="149">
        <f>IF(VLOOKUP(_xlfn.MINIFS(Table_BDD[Horodatage ouverture],Table_BDD[Date],Table_BDD[Date]),Table_BDD[[Horodatage ouverture]:[Heure derniere valeur]],AA$2)=Table_BDD[[#This Row],[Equité avant trade]],VLOOKUP(_xlfn.MINIFS(Table_BDD[Horodatage ouverture],Table_BDD[Date],Table_BDD[Date]),Table_BDD[[Horodatage ouverture]:[Heure derniere valeur]],AA$2),0)</f>
        <v>0</v>
      </c>
      <c r="AF150" s="150">
        <f>IF(Table_BDD[[#This Row],[Position]]="","",_xlfn.MAXIFS(Table_BDD[Horodatage ouverture],Table_BDD[Date],Table_BDD[Date]))</f>
        <v>43879.751585648148</v>
      </c>
      <c r="AG150" s="32">
        <f>VLOOKUP(_xlfn.MAXIFS(Table_BDD[Horodatage cloture],Table_BDD[Date],Table_BDD[Date]),Table_BDD[[Horodatage ouverture]:[Heure derniere valeur]],AB$2)</f>
        <v>831.72</v>
      </c>
      <c r="AH150" s="32">
        <f>IF(VLOOKUP(_xlfn.MAXIFS(Table_BDD[Horodatage cloture],Table_BDD[Date],Table_BDD[Date]),Table_BDD[[Horodatage ouverture]:[Heure derniere valeur]],AB$2)=Table_BDD[[#This Row],[Equité après trade]],VLOOKUP(_xlfn.MAXIFS(Table_BDD[Horodatage cloture],Table_BDD[Date],Table_BDD[Date]),Table_BDD[[Horodatage ouverture]:[Heure derniere valeur]],AB$2),0)</f>
        <v>0</v>
      </c>
      <c r="AI150" s="32" t="e">
        <f>IF(Table_BDD[[#This Row],[Valeur fin de journée unique]]=0,#N/A,Table_BDD[[#This Row],[Valeur fin de journée unique]])</f>
        <v>#N/A</v>
      </c>
      <c r="AJ150" s="35">
        <f>IF(Table_BDD[[#This Row],[Position]]="","",(Table_BDD[[#This Row],[Equité après trade]]-Table_BDD[[#This Row],[Equité avant trade]])/Table_BDD[[#This Row],[Equité avant trade]])</f>
        <v>-4.8922482326750475E-4</v>
      </c>
      <c r="AK150" s="35" t="str">
        <f>IFERROR(((INDEX(Table_BDD[[Trade n°]:[Valeur fin de journée unique]],Table_BDD[[#This Row],[Nb de trade du jour]]+Table_BDD[[#This Row],[Trade n°]]-1,21))-Table_BDD[[#This Row],[Valeur début de journée unique]])/Table_BDD[[#This Row],[Valeur début de journée unique]],"")</f>
        <v/>
      </c>
      <c r="AL150" s="32">
        <f>IF(Table_BDD[[#This Row],[Position]]="","",MAX(Table_BDD[[#This Row],[Cumul équité]],AL149))</f>
        <v>1052.8399999999999</v>
      </c>
      <c r="AM150" s="32">
        <f>IF(Table_BDD[[#This Row],[Position]]="","",MIN(Table_BDD[[#This Row],[Cumul équité]],AL149))</f>
        <v>817.22</v>
      </c>
      <c r="AN150" s="97">
        <f>IF(Table_BDD[[#This Row],[Sommet Drawdown]]&gt;AL149,"",Table_BDD[[#This Row],[Creux Drawdown]]/Table_BDD[[#This Row],[Sommet Drawdown]]-1)</f>
        <v>-0.22379468865164687</v>
      </c>
      <c r="AO150" s="36">
        <f>IF(Table_BDD[[#This Row],[Position]]="","",IF(Table_BDD[[#This Row],[Type]]="buy",ROUND(Table_BDD[[#This Row],[Lvl Sortie]]-Table_BDD[[#This Row],[Lvl Entrée]],1),ROUND(Table_BDD[[#This Row],[Lvl Entrée]]-Table_BDD[[#This Row],[Lvl Sortie]],1)))</f>
        <v>-1</v>
      </c>
      <c r="AP150" s="36" t="str">
        <f>IF(Table_BDD[[#This Row],[Points]]&gt;0,Table_BDD[[#This Row],[Points]],"")</f>
        <v/>
      </c>
      <c r="AQ150" s="36">
        <f>IF(Table_BDD[[#This Row],[Points]]&lt;0,Table_BDD[[#This Row],[Points]],"")</f>
        <v>-1</v>
      </c>
      <c r="AR150" s="36">
        <f>SUM($AO$4:AO150)</f>
        <v>-386.80000000000018</v>
      </c>
      <c r="AS150" s="68">
        <f>IF(Table_BDD[[#This Row],[Position]]="","",IF(Table_BDD[[#This Row],[Conformité]]="Conforme",1,0))</f>
        <v>0</v>
      </c>
      <c r="AT150" s="68">
        <f>IF(Table_BDD[[#This Row],[Position]]="","",IF(Table_BDD[[#This Row],[Conformité]]="Non conforme",1,0))</f>
        <v>1</v>
      </c>
      <c r="AU150" s="37" t="s">
        <v>17</v>
      </c>
      <c r="AV150" s="37"/>
      <c r="AW150" s="37"/>
      <c r="AX150" s="37">
        <v>0</v>
      </c>
      <c r="AY150" s="37">
        <v>0</v>
      </c>
      <c r="AZ150" s="37">
        <v>0</v>
      </c>
      <c r="BA150" s="40" t="str">
        <f>IF(Table_BDD[[#This Row],[Position]]="","Sans objet",IF(AND(Table_BDD[[#This Row],[Type]]="sell",Table_BDD[[#This Row],[S / L]]&lt;Table_BDD[[#This Row],[Lvl Entrée]],Table_BDD[[#This Row],[Lvl Sortie]]&lt;=Table_BDD[[#This Row],[S / L]]+2,Table_BDD[[#This Row],[Lvl Sortie]]&lt;Table_BDD[[#This Row],[Lvl Entrée]]-19),"Oui",IF(AND(Table_BDD[[#This Row],[Type]]="buy",Table_BDD[[#This Row],[S / L]]&gt;Table_BDD[[#This Row],[Lvl Entrée]],Table_BDD[[#This Row],[Lvl Sortie]]&gt;=Table_BDD[[#This Row],[S / L]]-2,Table_BDD[[#This Row],[S / L]]&gt;Table_BDD[[#This Row],[Lvl Entrée]]+19),"Oui","Non")))</f>
        <v>Non</v>
      </c>
      <c r="BB150" s="40" t="str">
        <f>IF(Table_BDD[[#This Row],[Position]]="","Sans objet",IF(AND(Table_BDD[[#This Row],[Type]]="sell",Table_BDD[[#This Row],[S / L]]&lt;Table_BDD[[#This Row],[Lvl Entrée]],Table_BDD[[#This Row],[Points]]&gt;=-1),"Oui",IF(AND(Table_BDD[[#This Row],[Type]]="sell",Table_BDD[[#This Row],[S / L]]&gt;Table_BDD[[#This Row],[Lvl Entrée]]),"Non",IF(AND(Table_BDD[[#This Row],[Type]]="buy",Table_BDD[[#This Row],[S / L]]&lt;Table_BDD[[#This Row],[Lvl Entrée]]),"Non",IF(AND(Table_BDD[[#This Row],[Type]]="buy",Table_BDD[[#This Row],[S / L]]&gt;Table_BDD[[#This Row],[Lvl Entrée]],Table_BDD[[#This Row],[Points]]&gt;=-1),"Oui")))))</f>
        <v>Oui</v>
      </c>
      <c r="BC150" s="40" t="str">
        <f>IF(Table_BDD[[#This Row],[Position]]="","Sans objet",IF(Table_BDD[[#This Row],[T / P]]="","Non",IF(AND(Table_BDD[[#This Row],[Type]]="sell",Table_BDD[[#This Row],[Lvl Sortie]]&lt;=Table_BDD[[#This Row],[T / P]]),"Oui",IF(AND(Table_BDD[[#This Row],[Type]]="buy",Table_BDD[[#This Row],[Lvl Sortie]]&gt;=Table_BDD[[#This Row],[T / P]]),"Oui","Non"))))</f>
        <v>Non</v>
      </c>
      <c r="BD150" s="91">
        <f t="array" ref="BD150">IFERROR(INDEX(downloadFile[#All],MATCH(Table_BDD[[#This Row],[Date]],downloadFile[[#All],[Column1]],0),2),BD149)</f>
        <v>1.0815999999999999</v>
      </c>
      <c r="BE150" s="89">
        <f>IF(Table_BDD[[#This Row],[Position]]="","",IF(Table_BDD[[#This Row],[Symbole]]="UsaInd",(Table_BDD[[#This Row],[Volume]]*Table_BDD[[#This Row],[Lvl Entrée]])/(Table_BDD[[#This Row],[Equité avant trade]]*Table_BDD[[#This Row],[EUR/USD]]),IF(Table_BDD[[#This Row],[Symbole]]="Ger30",(Table_BDD[[#This Row],[Volume]]*Table_BDD[[#This Row],[Lvl Entrée]])/Table_BDD[[#This Row],[Equité avant trade]],)))</f>
        <v>14.863735462749512</v>
      </c>
      <c r="BF150" s="38">
        <f>IF(Table_BDD[[#This Row],[Position]]="","",IF(Table_BDD[[#This Row],[Conformité]]="Non conforme",0,(MROUND(3*((Table_BDD[[#This Row],[Conviction]]+Table_BDD[[#This Row],[Timing]]+Table_BDD[[#This Row],[Sortie]])+1)-2,1))))</f>
        <v>0</v>
      </c>
      <c r="BG150" s="38" t="str">
        <f>IF(Table_BDD[[#This Row],[Position]]="","",IF(Table_BDD[[#This Row],[Points]]&lt;-5,"--",IF(AND(Table_BDD[[#This Row],[Points]]&gt;=-5,Table_BDD[[#This Row],[Points]]&lt;-1.5),"-",IF(AND(Table_BDD[[#This Row],[Points]]&gt;=-1.5,Table_BDD[[#This Row],[Points]]&lt;1.5),"0",IF(AND(Table_BDD[[#This Row],[Points]]&gt;=1.5,Table_BDD[[#This Row],[Points]]&lt;=70),"+",IF(Table_BDD[[#This Row],[Points]]&gt;70,"++"))))))</f>
        <v>0</v>
      </c>
      <c r="BH150" s="37" t="str">
        <f>IF(Table_BDD[[#This Row],[Position]]="","",IF(Table_BDD[[#This Row],[Points]]&gt;0,"Gagnant",IF(Table_BDD[[#This Row],[Points]]=0,"Flat","Perdant")))</f>
        <v>Perdant</v>
      </c>
      <c r="BI150" s="40">
        <f>IF(Table_BDD[[#This Row],[Position]]="","",IF(Table_BDD[[#This Row],[Résultat]]="Gagnant",1,0))</f>
        <v>0</v>
      </c>
      <c r="BJ150" s="40">
        <f>IF(Table_BDD[[#This Row],[Position]]="","",IF(Table_BDD[[#This Row],[Résultat]]="Perdant",1,0))</f>
        <v>1</v>
      </c>
      <c r="BK150" s="40"/>
      <c r="BL150" s="145">
        <f>IF(Table_BDD[[#This Row],[T / P]]="","",Table_BDD[[#This Row],[T / P]])</f>
        <v>29145.14</v>
      </c>
      <c r="BM150" s="147"/>
      <c r="BN150" s="147"/>
      <c r="BO150" s="147"/>
      <c r="BP150" s="147"/>
      <c r="BQ150" s="127"/>
    </row>
    <row r="151" spans="1:69" x14ac:dyDescent="0.2">
      <c r="A151" s="93">
        <v>43879.693668981483</v>
      </c>
      <c r="B151" s="94">
        <v>260154630</v>
      </c>
      <c r="C151" s="37" t="s">
        <v>8</v>
      </c>
      <c r="D151" s="37" t="s">
        <v>10</v>
      </c>
      <c r="E151" s="37">
        <v>0.45</v>
      </c>
      <c r="F151" s="95">
        <v>29216.14</v>
      </c>
      <c r="G151" s="95">
        <v>29214.639999999999</v>
      </c>
      <c r="H151" s="95">
        <v>29146.14</v>
      </c>
      <c r="I151" s="93">
        <v>43879.697291666664</v>
      </c>
      <c r="J151" s="95">
        <v>29216.13</v>
      </c>
      <c r="K151" s="95">
        <v>0</v>
      </c>
      <c r="L151" s="95">
        <v>0</v>
      </c>
      <c r="M151" s="32">
        <v>0</v>
      </c>
      <c r="N151" s="148">
        <f>IF(Table_BDD[[#This Row],[Position]]="","",ROW()-3)</f>
        <v>148</v>
      </c>
      <c r="O151" s="32">
        <f>SUM($L$4:M151)</f>
        <v>-182.77999999999997</v>
      </c>
      <c r="P151" s="32">
        <f>Table_BDD[[#This Row],[Equité avant trade]]+Table_BDD[[#This Row],[Profit]]+Table_BDD[[#This Row],[Echange]]</f>
        <v>817.22</v>
      </c>
      <c r="Q151" s="52">
        <f>INT(Table_BDD[[#This Row],[Horodatage cloture]])</f>
        <v>43879</v>
      </c>
      <c r="R151" s="34">
        <f>WEEKNUM(Table_BDD[[#This Row],[Horodatage cloture]],2)</f>
        <v>8</v>
      </c>
      <c r="S151" s="61">
        <f>WEEKDAY(Table_BDD[[#This Row],[Horodatage cloture]])</f>
        <v>3</v>
      </c>
      <c r="T151" s="63">
        <f>HOUR(Table_BDD[[#This Row],[Horodatage cloture]])</f>
        <v>16</v>
      </c>
      <c r="U151" s="68">
        <f>IF(Table_BDD[[#This Row],[Position]]="","",IF(Table_BDD[[#This Row],[Valeur début de journée unique]]&lt;&gt;0,1,0))</f>
        <v>0</v>
      </c>
      <c r="V151" s="68" t="str">
        <f>IF(Table_BDD[[#This Row],[Nb de séance de trading]]=1,COUNTIF(Table_BDD[Date],Table_BDD[[#This Row],[Date]]),"")</f>
        <v/>
      </c>
      <c r="W151" s="33">
        <f>IF(Table_BDD[[#This Row],[Position]]="","",IF(Table_BDD[[#This Row],[Type]]="buy",ROUND(Table_BDD[[#This Row],[Lvl Entrée]]-Table_BDD[[#This Row],[S / L]],1),ROUND(Table_BDD[[#This Row],[S / L]]-Table_BDD[[#This Row],[Lvl Entrée]],1)))</f>
        <v>-1.5</v>
      </c>
      <c r="X151" s="33">
        <f>IF(Table_BDD[[#This Row],[Position]]="","",IF(Table_BDD[[#This Row],[T / P]]=0,200,IF(Table_BDD[[#This Row],[Type]]="buy",ROUND(Table_BDD[[#This Row],[T / P]]-Table_BDD[[#This Row],[Lvl Entrée]],1),ROUND(Table_BDD[[#This Row],[Lvl Entrée]]-Table_BDD[[#This Row],[T / P]],1))))</f>
        <v>70</v>
      </c>
      <c r="Y151" s="34">
        <f>IF(Table_BDD[[#This Row],[Position]]="","",IF(Table_BDD[[#This Row],[Ecart du SL]]&gt;0,ROUND(ABS(Table_BDD[[#This Row],[Ecart du TP]])/ABS(Table_BDD[[#This Row],[Ecart du SL]]),1),ROUND(ABS(Table_BDD[[#This Row],[Ecart du TP]])/10,1)))</f>
        <v>7</v>
      </c>
      <c r="Z151" s="34">
        <f>IF(Table_BDD[[#This Row],[Position]]="","",IF(Table_BDD[[#This Row],[Ecart du SL]]&lt;0,IF(AND(Table_BDD[[#This Row],[Profit]]&gt;0,Table_BDD[[#This Row],[Type]]="sell"),ROUND((Table_BDD[[#This Row],[Lvl Entrée]]-Table_BDD[[#This Row],[Lvl Sortie]])/(10),1),IF(AND(Table_BDD[[#This Row],[Profit]]&gt;0,Table_BDD[[#This Row],[Type]]="buy"),ROUND((Table_BDD[[#This Row],[Lvl Sortie]]-Table_BDD[[#This Row],[Lvl Entrée]])/(10),1),)),IF(AND(Table_BDD[[#This Row],[Profit]]&gt;0,Table_BDD[[#This Row],[Type]]="sell"),ROUND((Table_BDD[[#This Row],[Lvl Entrée]]-Table_BDD[[#This Row],[Lvl Sortie]])/(Table_BDD[[#This Row],[S / L]]-Table_BDD[[#This Row],[Lvl Entrée]]),1),IF(AND(Table_BDD[[#This Row],[Profit]]&gt;0,Table_BDD[[#This Row],[Type]]="buy"),ROUND((Table_BDD[[#This Row],[Lvl Sortie]]-Table_BDD[[#This Row],[Lvl Entrée]])/(Table_BDD[[#This Row],[Lvl Entrée]]-Table_BDD[[#This Row],[S / L]]),1),ROUND(Table_BDD[[#This Row],[Points]]/10,1)))))</f>
        <v>0</v>
      </c>
      <c r="AA151" s="32">
        <f>IF(Table_BDD[[#This Row],[Position]]="",AA150,Table_BDD[[#This Row],[Equité après trade]]-Table_BDD[[#This Row],[Profit]]-Table_BDD[[#This Row],[Echange]])</f>
        <v>817.22</v>
      </c>
      <c r="AB151" s="149">
        <f>$B$1+SUM($L$4:M151)</f>
        <v>817.22</v>
      </c>
      <c r="AC151" s="150">
        <f>IF(Table_BDD[[#This Row],[Position]]="","",_xlfn.MINIFS(Table_BDD[Horodatage ouverture],Table_BDD[Date],Table_BDD[Date]))</f>
        <v>43879.671631944446</v>
      </c>
      <c r="AD151" s="149">
        <f>VLOOKUP(_xlfn.MINIFS(Table_BDD[Horodatage ouverture],Table_BDD[Date],Table_BDD[Date]),Table_BDD[[Horodatage ouverture]:[Heure derniere valeur]],AA$2)</f>
        <v>817.34</v>
      </c>
      <c r="AE151" s="149">
        <f>IF(VLOOKUP(_xlfn.MINIFS(Table_BDD[Horodatage ouverture],Table_BDD[Date],Table_BDD[Date]),Table_BDD[[Horodatage ouverture]:[Heure derniere valeur]],AA$2)=Table_BDD[[#This Row],[Equité avant trade]],VLOOKUP(_xlfn.MINIFS(Table_BDD[Horodatage ouverture],Table_BDD[Date],Table_BDD[Date]),Table_BDD[[Horodatage ouverture]:[Heure derniere valeur]],AA$2),0)</f>
        <v>0</v>
      </c>
      <c r="AF151" s="150">
        <f>IF(Table_BDD[[#This Row],[Position]]="","",_xlfn.MAXIFS(Table_BDD[Horodatage ouverture],Table_BDD[Date],Table_BDD[Date]))</f>
        <v>43879.751585648148</v>
      </c>
      <c r="AG151" s="32">
        <f>VLOOKUP(_xlfn.MAXIFS(Table_BDD[Horodatage cloture],Table_BDD[Date],Table_BDD[Date]),Table_BDD[[Horodatage ouverture]:[Heure derniere valeur]],AB$2)</f>
        <v>831.72</v>
      </c>
      <c r="AH151" s="32">
        <f>IF(VLOOKUP(_xlfn.MAXIFS(Table_BDD[Horodatage cloture],Table_BDD[Date],Table_BDD[Date]),Table_BDD[[Horodatage ouverture]:[Heure derniere valeur]],AB$2)=Table_BDD[[#This Row],[Equité après trade]],VLOOKUP(_xlfn.MAXIFS(Table_BDD[Horodatage cloture],Table_BDD[Date],Table_BDD[Date]),Table_BDD[[Horodatage ouverture]:[Heure derniere valeur]],AB$2),0)</f>
        <v>0</v>
      </c>
      <c r="AI151" s="32" t="e">
        <f>IF(Table_BDD[[#This Row],[Valeur fin de journée unique]]=0,#N/A,Table_BDD[[#This Row],[Valeur fin de journée unique]])</f>
        <v>#N/A</v>
      </c>
      <c r="AJ151" s="35">
        <f>IF(Table_BDD[[#This Row],[Position]]="","",(Table_BDD[[#This Row],[Equité après trade]]-Table_BDD[[#This Row],[Equité avant trade]])/Table_BDD[[#This Row],[Equité avant trade]])</f>
        <v>0</v>
      </c>
      <c r="AK151" s="35" t="str">
        <f>IFERROR(((INDEX(Table_BDD[[Trade n°]:[Valeur fin de journée unique]],Table_BDD[[#This Row],[Nb de trade du jour]]+Table_BDD[[#This Row],[Trade n°]]-1,21))-Table_BDD[[#This Row],[Valeur début de journée unique]])/Table_BDD[[#This Row],[Valeur début de journée unique]],"")</f>
        <v/>
      </c>
      <c r="AL151" s="32">
        <f>IF(Table_BDD[[#This Row],[Position]]="","",MAX(Table_BDD[[#This Row],[Cumul équité]],AL150))</f>
        <v>1052.8399999999999</v>
      </c>
      <c r="AM151" s="32">
        <f>IF(Table_BDD[[#This Row],[Position]]="","",MIN(Table_BDD[[#This Row],[Cumul équité]],AL150))</f>
        <v>817.22</v>
      </c>
      <c r="AN151" s="97">
        <f>IF(Table_BDD[[#This Row],[Sommet Drawdown]]&gt;AL150,"",Table_BDD[[#This Row],[Creux Drawdown]]/Table_BDD[[#This Row],[Sommet Drawdown]]-1)</f>
        <v>-0.22379468865164687</v>
      </c>
      <c r="AO151" s="36">
        <f>IF(Table_BDD[[#This Row],[Position]]="","",IF(Table_BDD[[#This Row],[Type]]="buy",ROUND(Table_BDD[[#This Row],[Lvl Sortie]]-Table_BDD[[#This Row],[Lvl Entrée]],1),ROUND(Table_BDD[[#This Row],[Lvl Entrée]]-Table_BDD[[#This Row],[Lvl Sortie]],1)))</f>
        <v>0</v>
      </c>
      <c r="AP151" s="36" t="str">
        <f>IF(Table_BDD[[#This Row],[Points]]&gt;0,Table_BDD[[#This Row],[Points]],"")</f>
        <v/>
      </c>
      <c r="AQ151" s="36" t="str">
        <f>IF(Table_BDD[[#This Row],[Points]]&lt;0,Table_BDD[[#This Row],[Points]],"")</f>
        <v/>
      </c>
      <c r="AR151" s="36">
        <f>SUM($AO$4:AO151)</f>
        <v>-386.80000000000018</v>
      </c>
      <c r="AS151" s="68">
        <f>IF(Table_BDD[[#This Row],[Position]]="","",IF(Table_BDD[[#This Row],[Conformité]]="Conforme",1,0))</f>
        <v>0</v>
      </c>
      <c r="AT151" s="68">
        <f>IF(Table_BDD[[#This Row],[Position]]="","",IF(Table_BDD[[#This Row],[Conformité]]="Non conforme",1,0))</f>
        <v>1</v>
      </c>
      <c r="AU151" s="37" t="s">
        <v>17</v>
      </c>
      <c r="AV151" s="37"/>
      <c r="AW151" s="37"/>
      <c r="AX151" s="37">
        <v>0</v>
      </c>
      <c r="AY151" s="37">
        <v>0</v>
      </c>
      <c r="AZ151" s="37">
        <v>0</v>
      </c>
      <c r="BA151" s="40" t="str">
        <f>IF(Table_BDD[[#This Row],[Position]]="","Sans objet",IF(AND(Table_BDD[[#This Row],[Type]]="sell",Table_BDD[[#This Row],[S / L]]&lt;Table_BDD[[#This Row],[Lvl Entrée]],Table_BDD[[#This Row],[Lvl Sortie]]&lt;=Table_BDD[[#This Row],[S / L]]+2,Table_BDD[[#This Row],[Lvl Sortie]]&lt;Table_BDD[[#This Row],[Lvl Entrée]]-19),"Oui",IF(AND(Table_BDD[[#This Row],[Type]]="buy",Table_BDD[[#This Row],[S / L]]&gt;Table_BDD[[#This Row],[Lvl Entrée]],Table_BDD[[#This Row],[Lvl Sortie]]&gt;=Table_BDD[[#This Row],[S / L]]-2,Table_BDD[[#This Row],[S / L]]&gt;Table_BDD[[#This Row],[Lvl Entrée]]+19),"Oui","Non")))</f>
        <v>Non</v>
      </c>
      <c r="BB151" s="40" t="str">
        <f>IF(Table_BDD[[#This Row],[Position]]="","Sans objet",IF(AND(Table_BDD[[#This Row],[Type]]="sell",Table_BDD[[#This Row],[S / L]]&lt;Table_BDD[[#This Row],[Lvl Entrée]],Table_BDD[[#This Row],[Points]]&gt;=-1),"Oui",IF(AND(Table_BDD[[#This Row],[Type]]="sell",Table_BDD[[#This Row],[S / L]]&gt;Table_BDD[[#This Row],[Lvl Entrée]]),"Non",IF(AND(Table_BDD[[#This Row],[Type]]="buy",Table_BDD[[#This Row],[S / L]]&lt;Table_BDD[[#This Row],[Lvl Entrée]]),"Non",IF(AND(Table_BDD[[#This Row],[Type]]="buy",Table_BDD[[#This Row],[S / L]]&gt;Table_BDD[[#This Row],[Lvl Entrée]],Table_BDD[[#This Row],[Points]]&gt;=-1),"Oui")))))</f>
        <v>Oui</v>
      </c>
      <c r="BC151" s="40" t="str">
        <f>IF(Table_BDD[[#This Row],[Position]]="","Sans objet",IF(Table_BDD[[#This Row],[T / P]]="","Non",IF(AND(Table_BDD[[#This Row],[Type]]="sell",Table_BDD[[#This Row],[Lvl Sortie]]&lt;=Table_BDD[[#This Row],[T / P]]),"Oui",IF(AND(Table_BDD[[#This Row],[Type]]="buy",Table_BDD[[#This Row],[Lvl Sortie]]&gt;=Table_BDD[[#This Row],[T / P]]),"Oui","Non"))))</f>
        <v>Non</v>
      </c>
      <c r="BD151" s="91">
        <f t="array" ref="BD151">IFERROR(INDEX(downloadFile[#All],MATCH(Table_BDD[[#This Row],[Date]],downloadFile[[#All],[Column1]],0),2),BD150)</f>
        <v>1.0815999999999999</v>
      </c>
      <c r="BE151" s="89">
        <f>IF(Table_BDD[[#This Row],[Position]]="","",IF(Table_BDD[[#This Row],[Symbole]]="UsaInd",(Table_BDD[[#This Row],[Volume]]*Table_BDD[[#This Row],[Lvl Entrée]])/(Table_BDD[[#This Row],[Equité avant trade]]*Table_BDD[[#This Row],[EUR/USD]]),IF(Table_BDD[[#This Row],[Symbole]]="Ger30",(Table_BDD[[#This Row],[Volume]]*Table_BDD[[#This Row],[Lvl Entrée]])/Table_BDD[[#This Row],[Equité avant trade]],)))</f>
        <v>14.874065356731853</v>
      </c>
      <c r="BF151" s="38">
        <f>IF(Table_BDD[[#This Row],[Position]]="","",IF(Table_BDD[[#This Row],[Conformité]]="Non conforme",0,(MROUND(3*((Table_BDD[[#This Row],[Conviction]]+Table_BDD[[#This Row],[Timing]]+Table_BDD[[#This Row],[Sortie]])+1)-2,1))))</f>
        <v>0</v>
      </c>
      <c r="BG151" s="38" t="str">
        <f>IF(Table_BDD[[#This Row],[Position]]="","",IF(Table_BDD[[#This Row],[Points]]&lt;-5,"--",IF(AND(Table_BDD[[#This Row],[Points]]&gt;=-5,Table_BDD[[#This Row],[Points]]&lt;-1.5),"-",IF(AND(Table_BDD[[#This Row],[Points]]&gt;=-1.5,Table_BDD[[#This Row],[Points]]&lt;1.5),"0",IF(AND(Table_BDD[[#This Row],[Points]]&gt;=1.5,Table_BDD[[#This Row],[Points]]&lt;=70),"+",IF(Table_BDD[[#This Row],[Points]]&gt;70,"++"))))))</f>
        <v>0</v>
      </c>
      <c r="BH151" s="37" t="str">
        <f>IF(Table_BDD[[#This Row],[Position]]="","",IF(Table_BDD[[#This Row],[Points]]&gt;0,"Gagnant",IF(Table_BDD[[#This Row],[Points]]=0,"Flat","Perdant")))</f>
        <v>Flat</v>
      </c>
      <c r="BI151" s="40">
        <f>IF(Table_BDD[[#This Row],[Position]]="","",IF(Table_BDD[[#This Row],[Résultat]]="Gagnant",1,0))</f>
        <v>0</v>
      </c>
      <c r="BJ151" s="40">
        <f>IF(Table_BDD[[#This Row],[Position]]="","",IF(Table_BDD[[#This Row],[Résultat]]="Perdant",1,0))</f>
        <v>0</v>
      </c>
      <c r="BK151" s="40"/>
      <c r="BL151" s="145">
        <f>IF(Table_BDD[[#This Row],[T / P]]="","",Table_BDD[[#This Row],[T / P]])</f>
        <v>29146.14</v>
      </c>
      <c r="BM151" s="147"/>
      <c r="BN151" s="147"/>
      <c r="BO151" s="147"/>
      <c r="BP151" s="147"/>
      <c r="BQ151" s="127"/>
    </row>
    <row r="152" spans="1:69" x14ac:dyDescent="0.2">
      <c r="A152" s="93">
        <v>43879.728020833332</v>
      </c>
      <c r="B152" s="94">
        <v>260161039</v>
      </c>
      <c r="C152" s="37" t="s">
        <v>8</v>
      </c>
      <c r="D152" s="37" t="s">
        <v>9</v>
      </c>
      <c r="E152" s="37">
        <v>0.45</v>
      </c>
      <c r="F152" s="95">
        <v>29145.47</v>
      </c>
      <c r="G152" s="95">
        <v>29135.4</v>
      </c>
      <c r="H152" s="95"/>
      <c r="I152" s="93">
        <v>43879.728090277778</v>
      </c>
      <c r="J152" s="95">
        <v>29135.18</v>
      </c>
      <c r="K152" s="95">
        <v>0</v>
      </c>
      <c r="L152" s="95">
        <v>0</v>
      </c>
      <c r="M152" s="32">
        <v>-4.28</v>
      </c>
      <c r="N152" s="148">
        <f>IF(Table_BDD[[#This Row],[Position]]="","",ROW()-3)</f>
        <v>149</v>
      </c>
      <c r="O152" s="32">
        <f>SUM($L$4:M152)</f>
        <v>-187.05999999999997</v>
      </c>
      <c r="P152" s="32">
        <f>Table_BDD[[#This Row],[Equité avant trade]]+Table_BDD[[#This Row],[Profit]]+Table_BDD[[#This Row],[Echange]]</f>
        <v>812.94</v>
      </c>
      <c r="Q152" s="52">
        <f>INT(Table_BDD[[#This Row],[Horodatage cloture]])</f>
        <v>43879</v>
      </c>
      <c r="R152" s="34">
        <f>WEEKNUM(Table_BDD[[#This Row],[Horodatage cloture]],2)</f>
        <v>8</v>
      </c>
      <c r="S152" s="61">
        <f>WEEKDAY(Table_BDD[[#This Row],[Horodatage cloture]])</f>
        <v>3</v>
      </c>
      <c r="T152" s="63">
        <f>HOUR(Table_BDD[[#This Row],[Horodatage cloture]])</f>
        <v>17</v>
      </c>
      <c r="U152" s="68">
        <f>IF(Table_BDD[[#This Row],[Position]]="","",IF(Table_BDD[[#This Row],[Valeur début de journée unique]]&lt;&gt;0,1,0))</f>
        <v>0</v>
      </c>
      <c r="V152" s="68" t="str">
        <f>IF(Table_BDD[[#This Row],[Nb de séance de trading]]=1,COUNTIF(Table_BDD[Date],Table_BDD[[#This Row],[Date]]),"")</f>
        <v/>
      </c>
      <c r="W152" s="33">
        <f>IF(Table_BDD[[#This Row],[Position]]="","",IF(Table_BDD[[#This Row],[Type]]="buy",ROUND(Table_BDD[[#This Row],[Lvl Entrée]]-Table_BDD[[#This Row],[S / L]],1),ROUND(Table_BDD[[#This Row],[S / L]]-Table_BDD[[#This Row],[Lvl Entrée]],1)))</f>
        <v>10.1</v>
      </c>
      <c r="X152" s="33">
        <f>IF(Table_BDD[[#This Row],[Position]]="","",IF(Table_BDD[[#This Row],[T / P]]=0,200,IF(Table_BDD[[#This Row],[Type]]="buy",ROUND(Table_BDD[[#This Row],[T / P]]-Table_BDD[[#This Row],[Lvl Entrée]],1),ROUND(Table_BDD[[#This Row],[Lvl Entrée]]-Table_BDD[[#This Row],[T / P]],1))))</f>
        <v>200</v>
      </c>
      <c r="Y152" s="34">
        <f>IF(Table_BDD[[#This Row],[Position]]="","",IF(Table_BDD[[#This Row],[Ecart du SL]]&gt;0,ROUND(ABS(Table_BDD[[#This Row],[Ecart du TP]])/ABS(Table_BDD[[#This Row],[Ecart du SL]]),1),ROUND(ABS(Table_BDD[[#This Row],[Ecart du TP]])/10,1)))</f>
        <v>19.8</v>
      </c>
      <c r="Z152" s="34">
        <f>IF(Table_BDD[[#This Row],[Position]]="","",IF(Table_BDD[[#This Row],[Ecart du SL]]&lt;0,IF(AND(Table_BDD[[#This Row],[Profit]]&gt;0,Table_BDD[[#This Row],[Type]]="sell"),ROUND((Table_BDD[[#This Row],[Lvl Entrée]]-Table_BDD[[#This Row],[Lvl Sortie]])/(10),1),IF(AND(Table_BDD[[#This Row],[Profit]]&gt;0,Table_BDD[[#This Row],[Type]]="buy"),ROUND((Table_BDD[[#This Row],[Lvl Sortie]]-Table_BDD[[#This Row],[Lvl Entrée]])/(10),1),)),IF(AND(Table_BDD[[#This Row],[Profit]]&gt;0,Table_BDD[[#This Row],[Type]]="sell"),ROUND((Table_BDD[[#This Row],[Lvl Entrée]]-Table_BDD[[#This Row],[Lvl Sortie]])/(Table_BDD[[#This Row],[S / L]]-Table_BDD[[#This Row],[Lvl Entrée]]),1),IF(AND(Table_BDD[[#This Row],[Profit]]&gt;0,Table_BDD[[#This Row],[Type]]="buy"),ROUND((Table_BDD[[#This Row],[Lvl Sortie]]-Table_BDD[[#This Row],[Lvl Entrée]])/(Table_BDD[[#This Row],[Lvl Entrée]]-Table_BDD[[#This Row],[S / L]]),1),ROUND(Table_BDD[[#This Row],[Points]]/10,1)))))</f>
        <v>-1</v>
      </c>
      <c r="AA152" s="32">
        <f>IF(Table_BDD[[#This Row],[Position]]="",AA151,Table_BDD[[#This Row],[Equité après trade]]-Table_BDD[[#This Row],[Profit]]-Table_BDD[[#This Row],[Echange]])</f>
        <v>817.22</v>
      </c>
      <c r="AB152" s="149">
        <f>$B$1+SUM($L$4:M152)</f>
        <v>812.94</v>
      </c>
      <c r="AC152" s="150">
        <f>IF(Table_BDD[[#This Row],[Position]]="","",_xlfn.MINIFS(Table_BDD[Horodatage ouverture],Table_BDD[Date],Table_BDD[Date]))</f>
        <v>43879.671631944446</v>
      </c>
      <c r="AD152" s="149">
        <f>VLOOKUP(_xlfn.MINIFS(Table_BDD[Horodatage ouverture],Table_BDD[Date],Table_BDD[Date]),Table_BDD[[Horodatage ouverture]:[Heure derniere valeur]],AA$2)</f>
        <v>817.34</v>
      </c>
      <c r="AE152" s="149">
        <f>IF(VLOOKUP(_xlfn.MINIFS(Table_BDD[Horodatage ouverture],Table_BDD[Date],Table_BDD[Date]),Table_BDD[[Horodatage ouverture]:[Heure derniere valeur]],AA$2)=Table_BDD[[#This Row],[Equité avant trade]],VLOOKUP(_xlfn.MINIFS(Table_BDD[Horodatage ouverture],Table_BDD[Date],Table_BDD[Date]),Table_BDD[[Horodatage ouverture]:[Heure derniere valeur]],AA$2),0)</f>
        <v>0</v>
      </c>
      <c r="AF152" s="150">
        <f>IF(Table_BDD[[#This Row],[Position]]="","",_xlfn.MAXIFS(Table_BDD[Horodatage ouverture],Table_BDD[Date],Table_BDD[Date]))</f>
        <v>43879.751585648148</v>
      </c>
      <c r="AG152" s="32">
        <f>VLOOKUP(_xlfn.MAXIFS(Table_BDD[Horodatage cloture],Table_BDD[Date],Table_BDD[Date]),Table_BDD[[Horodatage ouverture]:[Heure derniere valeur]],AB$2)</f>
        <v>831.72</v>
      </c>
      <c r="AH152" s="32">
        <f>IF(VLOOKUP(_xlfn.MAXIFS(Table_BDD[Horodatage cloture],Table_BDD[Date],Table_BDD[Date]),Table_BDD[[Horodatage ouverture]:[Heure derniere valeur]],AB$2)=Table_BDD[[#This Row],[Equité après trade]],VLOOKUP(_xlfn.MAXIFS(Table_BDD[Horodatage cloture],Table_BDD[Date],Table_BDD[Date]),Table_BDD[[Horodatage ouverture]:[Heure derniere valeur]],AB$2),0)</f>
        <v>0</v>
      </c>
      <c r="AI152" s="32" t="e">
        <f>IF(Table_BDD[[#This Row],[Valeur fin de journée unique]]=0,#N/A,Table_BDD[[#This Row],[Valeur fin de journée unique]])</f>
        <v>#N/A</v>
      </c>
      <c r="AJ152" s="35">
        <f>IF(Table_BDD[[#This Row],[Position]]="","",(Table_BDD[[#This Row],[Equité après trade]]-Table_BDD[[#This Row],[Equité avant trade]])/Table_BDD[[#This Row],[Equité avant trade]])</f>
        <v>-5.2372678103815035E-3</v>
      </c>
      <c r="AK152" s="35" t="str">
        <f>IFERROR(((INDEX(Table_BDD[[Trade n°]:[Valeur fin de journée unique]],Table_BDD[[#This Row],[Nb de trade du jour]]+Table_BDD[[#This Row],[Trade n°]]-1,21))-Table_BDD[[#This Row],[Valeur début de journée unique]])/Table_BDD[[#This Row],[Valeur début de journée unique]],"")</f>
        <v/>
      </c>
      <c r="AL152" s="32">
        <f>IF(Table_BDD[[#This Row],[Position]]="","",MAX(Table_BDD[[#This Row],[Cumul équité]],AL151))</f>
        <v>1052.8399999999999</v>
      </c>
      <c r="AM152" s="32">
        <f>IF(Table_BDD[[#This Row],[Position]]="","",MIN(Table_BDD[[#This Row],[Cumul équité]],AL151))</f>
        <v>812.94</v>
      </c>
      <c r="AN152" s="97">
        <f>IF(Table_BDD[[#This Row],[Sommet Drawdown]]&gt;AL151,"",Table_BDD[[#This Row],[Creux Drawdown]]/Table_BDD[[#This Row],[Sommet Drawdown]]-1)</f>
        <v>-0.2278598837430188</v>
      </c>
      <c r="AO152" s="36">
        <f>IF(Table_BDD[[#This Row],[Position]]="","",IF(Table_BDD[[#This Row],[Type]]="buy",ROUND(Table_BDD[[#This Row],[Lvl Sortie]]-Table_BDD[[#This Row],[Lvl Entrée]],1),ROUND(Table_BDD[[#This Row],[Lvl Entrée]]-Table_BDD[[#This Row],[Lvl Sortie]],1)))</f>
        <v>-10.3</v>
      </c>
      <c r="AP152" s="36" t="str">
        <f>IF(Table_BDD[[#This Row],[Points]]&gt;0,Table_BDD[[#This Row],[Points]],"")</f>
        <v/>
      </c>
      <c r="AQ152" s="36">
        <f>IF(Table_BDD[[#This Row],[Points]]&lt;0,Table_BDD[[#This Row],[Points]],"")</f>
        <v>-10.3</v>
      </c>
      <c r="AR152" s="36">
        <f>SUM($AO$4:AO152)</f>
        <v>-397.10000000000019</v>
      </c>
      <c r="AS152" s="68">
        <f>IF(Table_BDD[[#This Row],[Position]]="","",IF(Table_BDD[[#This Row],[Conformité]]="Conforme",1,0))</f>
        <v>0</v>
      </c>
      <c r="AT152" s="68">
        <f>IF(Table_BDD[[#This Row],[Position]]="","",IF(Table_BDD[[#This Row],[Conformité]]="Non conforme",1,0))</f>
        <v>1</v>
      </c>
      <c r="AU152" s="37" t="s">
        <v>17</v>
      </c>
      <c r="AV152" s="37"/>
      <c r="AW152" s="37"/>
      <c r="AX152" s="37">
        <v>0</v>
      </c>
      <c r="AY152" s="37">
        <v>0</v>
      </c>
      <c r="AZ152" s="37">
        <v>0</v>
      </c>
      <c r="BA152" s="40" t="str">
        <f>IF(Table_BDD[[#This Row],[Position]]="","Sans objet",IF(AND(Table_BDD[[#This Row],[Type]]="sell",Table_BDD[[#This Row],[S / L]]&lt;Table_BDD[[#This Row],[Lvl Entrée]],Table_BDD[[#This Row],[Lvl Sortie]]&lt;=Table_BDD[[#This Row],[S / L]]+2,Table_BDD[[#This Row],[Lvl Sortie]]&lt;Table_BDD[[#This Row],[Lvl Entrée]]-19),"Oui",IF(AND(Table_BDD[[#This Row],[Type]]="buy",Table_BDD[[#This Row],[S / L]]&gt;Table_BDD[[#This Row],[Lvl Entrée]],Table_BDD[[#This Row],[Lvl Sortie]]&gt;=Table_BDD[[#This Row],[S / L]]-2,Table_BDD[[#This Row],[S / L]]&gt;Table_BDD[[#This Row],[Lvl Entrée]]+19),"Oui","Non")))</f>
        <v>Non</v>
      </c>
      <c r="BB152" s="40" t="str">
        <f>IF(Table_BDD[[#This Row],[Position]]="","Sans objet",IF(AND(Table_BDD[[#This Row],[Type]]="sell",Table_BDD[[#This Row],[S / L]]&lt;Table_BDD[[#This Row],[Lvl Entrée]],Table_BDD[[#This Row],[Points]]&gt;=-1),"Oui",IF(AND(Table_BDD[[#This Row],[Type]]="sell",Table_BDD[[#This Row],[S / L]]&gt;Table_BDD[[#This Row],[Lvl Entrée]]),"Non",IF(AND(Table_BDD[[#This Row],[Type]]="buy",Table_BDD[[#This Row],[S / L]]&lt;Table_BDD[[#This Row],[Lvl Entrée]]),"Non",IF(AND(Table_BDD[[#This Row],[Type]]="buy",Table_BDD[[#This Row],[S / L]]&gt;Table_BDD[[#This Row],[Lvl Entrée]],Table_BDD[[#This Row],[Points]]&gt;=-1),"Oui")))))</f>
        <v>Non</v>
      </c>
      <c r="BC152" s="40" t="str">
        <f>IF(Table_BDD[[#This Row],[Position]]="","Sans objet",IF(Table_BDD[[#This Row],[T / P]]="","Non",IF(AND(Table_BDD[[#This Row],[Type]]="sell",Table_BDD[[#This Row],[Lvl Sortie]]&lt;=Table_BDD[[#This Row],[T / P]]),"Oui",IF(AND(Table_BDD[[#This Row],[Type]]="buy",Table_BDD[[#This Row],[Lvl Sortie]]&gt;=Table_BDD[[#This Row],[T / P]]),"Oui","Non"))))</f>
        <v>Non</v>
      </c>
      <c r="BD152" s="91">
        <f t="array" ref="BD152">IFERROR(INDEX(downloadFile[#All],MATCH(Table_BDD[[#This Row],[Date]],downloadFile[[#All],[Column1]],0),2),BD151)</f>
        <v>1.0815999999999999</v>
      </c>
      <c r="BE152" s="89">
        <f>IF(Table_BDD[[#This Row],[Position]]="","",IF(Table_BDD[[#This Row],[Symbole]]="UsaInd",(Table_BDD[[#This Row],[Volume]]*Table_BDD[[#This Row],[Lvl Entrée]])/(Table_BDD[[#This Row],[Equité avant trade]]*Table_BDD[[#This Row],[EUR/USD]]),IF(Table_BDD[[#This Row],[Symbole]]="Ger30",(Table_BDD[[#This Row],[Volume]]*Table_BDD[[#This Row],[Lvl Entrée]])/Table_BDD[[#This Row],[Equité avant trade]],)))</f>
        <v>14.838086948949023</v>
      </c>
      <c r="BF152" s="38">
        <f>IF(Table_BDD[[#This Row],[Position]]="","",IF(Table_BDD[[#This Row],[Conformité]]="Non conforme",0,(MROUND(3*((Table_BDD[[#This Row],[Conviction]]+Table_BDD[[#This Row],[Timing]]+Table_BDD[[#This Row],[Sortie]])+1)-2,1))))</f>
        <v>0</v>
      </c>
      <c r="BG152" s="38" t="str">
        <f>IF(Table_BDD[[#This Row],[Position]]="","",IF(Table_BDD[[#This Row],[Points]]&lt;-5,"--",IF(AND(Table_BDD[[#This Row],[Points]]&gt;=-5,Table_BDD[[#This Row],[Points]]&lt;-1.5),"-",IF(AND(Table_BDD[[#This Row],[Points]]&gt;=-1.5,Table_BDD[[#This Row],[Points]]&lt;1.5),"0",IF(AND(Table_BDD[[#This Row],[Points]]&gt;=1.5,Table_BDD[[#This Row],[Points]]&lt;=70),"+",IF(Table_BDD[[#This Row],[Points]]&gt;70,"++"))))))</f>
        <v>--</v>
      </c>
      <c r="BH152" s="37" t="str">
        <f>IF(Table_BDD[[#This Row],[Position]]="","",IF(Table_BDD[[#This Row],[Points]]&gt;0,"Gagnant",IF(Table_BDD[[#This Row],[Points]]=0,"Flat","Perdant")))</f>
        <v>Perdant</v>
      </c>
      <c r="BI152" s="40">
        <f>IF(Table_BDD[[#This Row],[Position]]="","",IF(Table_BDD[[#This Row],[Résultat]]="Gagnant",1,0))</f>
        <v>0</v>
      </c>
      <c r="BJ152" s="40">
        <f>IF(Table_BDD[[#This Row],[Position]]="","",IF(Table_BDD[[#This Row],[Résultat]]="Perdant",1,0))</f>
        <v>1</v>
      </c>
      <c r="BK152" s="40"/>
      <c r="BL152" s="145" t="str">
        <f>IF(Table_BDD[[#This Row],[T / P]]="","",Table_BDD[[#This Row],[T / P]])</f>
        <v/>
      </c>
      <c r="BM152" s="147"/>
      <c r="BN152" s="147"/>
      <c r="BO152" s="147"/>
      <c r="BP152" s="147"/>
      <c r="BQ152" s="127"/>
    </row>
    <row r="153" spans="1:69" x14ac:dyDescent="0.2">
      <c r="A153" s="93">
        <v>43879.728113425925</v>
      </c>
      <c r="B153" s="94">
        <v>260161059</v>
      </c>
      <c r="C153" s="37" t="s">
        <v>8</v>
      </c>
      <c r="D153" s="37" t="s">
        <v>9</v>
      </c>
      <c r="E153" s="37">
        <v>0.45</v>
      </c>
      <c r="F153" s="95">
        <v>29135.45</v>
      </c>
      <c r="G153" s="95">
        <v>29125.45</v>
      </c>
      <c r="H153" s="95"/>
      <c r="I153" s="93">
        <v>43879.728796296295</v>
      </c>
      <c r="J153" s="95">
        <v>29125.31</v>
      </c>
      <c r="K153" s="95">
        <v>0</v>
      </c>
      <c r="L153" s="95">
        <v>0</v>
      </c>
      <c r="M153" s="32">
        <v>-4.22</v>
      </c>
      <c r="N153" s="148">
        <f>IF(Table_BDD[[#This Row],[Position]]="","",ROW()-3)</f>
        <v>150</v>
      </c>
      <c r="O153" s="32">
        <f>SUM($L$4:M153)</f>
        <v>-191.27999999999997</v>
      </c>
      <c r="P153" s="32">
        <f>Table_BDD[[#This Row],[Equité avant trade]]+Table_BDD[[#This Row],[Profit]]+Table_BDD[[#This Row],[Echange]]</f>
        <v>808.72</v>
      </c>
      <c r="Q153" s="52">
        <f>INT(Table_BDD[[#This Row],[Horodatage cloture]])</f>
        <v>43879</v>
      </c>
      <c r="R153" s="34">
        <f>WEEKNUM(Table_BDD[[#This Row],[Horodatage cloture]],2)</f>
        <v>8</v>
      </c>
      <c r="S153" s="61">
        <f>WEEKDAY(Table_BDD[[#This Row],[Horodatage cloture]])</f>
        <v>3</v>
      </c>
      <c r="T153" s="63">
        <f>HOUR(Table_BDD[[#This Row],[Horodatage cloture]])</f>
        <v>17</v>
      </c>
      <c r="U153" s="68">
        <f>IF(Table_BDD[[#This Row],[Position]]="","",IF(Table_BDD[[#This Row],[Valeur début de journée unique]]&lt;&gt;0,1,0))</f>
        <v>0</v>
      </c>
      <c r="V153" s="68" t="str">
        <f>IF(Table_BDD[[#This Row],[Nb de séance de trading]]=1,COUNTIF(Table_BDD[Date],Table_BDD[[#This Row],[Date]]),"")</f>
        <v/>
      </c>
      <c r="W153" s="33">
        <f>IF(Table_BDD[[#This Row],[Position]]="","",IF(Table_BDD[[#This Row],[Type]]="buy",ROUND(Table_BDD[[#This Row],[Lvl Entrée]]-Table_BDD[[#This Row],[S / L]],1),ROUND(Table_BDD[[#This Row],[S / L]]-Table_BDD[[#This Row],[Lvl Entrée]],1)))</f>
        <v>10</v>
      </c>
      <c r="X153" s="33">
        <f>IF(Table_BDD[[#This Row],[Position]]="","",IF(Table_BDD[[#This Row],[T / P]]=0,200,IF(Table_BDD[[#This Row],[Type]]="buy",ROUND(Table_BDD[[#This Row],[T / P]]-Table_BDD[[#This Row],[Lvl Entrée]],1),ROUND(Table_BDD[[#This Row],[Lvl Entrée]]-Table_BDD[[#This Row],[T / P]],1))))</f>
        <v>200</v>
      </c>
      <c r="Y153" s="34">
        <f>IF(Table_BDD[[#This Row],[Position]]="","",IF(Table_BDD[[#This Row],[Ecart du SL]]&gt;0,ROUND(ABS(Table_BDD[[#This Row],[Ecart du TP]])/ABS(Table_BDD[[#This Row],[Ecart du SL]]),1),ROUND(ABS(Table_BDD[[#This Row],[Ecart du TP]])/10,1)))</f>
        <v>20</v>
      </c>
      <c r="Z153" s="34">
        <f>IF(Table_BDD[[#This Row],[Position]]="","",IF(Table_BDD[[#This Row],[Ecart du SL]]&lt;0,IF(AND(Table_BDD[[#This Row],[Profit]]&gt;0,Table_BDD[[#This Row],[Type]]="sell"),ROUND((Table_BDD[[#This Row],[Lvl Entrée]]-Table_BDD[[#This Row],[Lvl Sortie]])/(10),1),IF(AND(Table_BDD[[#This Row],[Profit]]&gt;0,Table_BDD[[#This Row],[Type]]="buy"),ROUND((Table_BDD[[#This Row],[Lvl Sortie]]-Table_BDD[[#This Row],[Lvl Entrée]])/(10),1),)),IF(AND(Table_BDD[[#This Row],[Profit]]&gt;0,Table_BDD[[#This Row],[Type]]="sell"),ROUND((Table_BDD[[#This Row],[Lvl Entrée]]-Table_BDD[[#This Row],[Lvl Sortie]])/(Table_BDD[[#This Row],[S / L]]-Table_BDD[[#This Row],[Lvl Entrée]]),1),IF(AND(Table_BDD[[#This Row],[Profit]]&gt;0,Table_BDD[[#This Row],[Type]]="buy"),ROUND((Table_BDD[[#This Row],[Lvl Sortie]]-Table_BDD[[#This Row],[Lvl Entrée]])/(Table_BDD[[#This Row],[Lvl Entrée]]-Table_BDD[[#This Row],[S / L]]),1),ROUND(Table_BDD[[#This Row],[Points]]/10,1)))))</f>
        <v>-1</v>
      </c>
      <c r="AA153" s="32">
        <f>IF(Table_BDD[[#This Row],[Position]]="",AA152,Table_BDD[[#This Row],[Equité après trade]]-Table_BDD[[#This Row],[Profit]]-Table_BDD[[#This Row],[Echange]])</f>
        <v>812.94</v>
      </c>
      <c r="AB153" s="149">
        <f>$B$1+SUM($L$4:M153)</f>
        <v>808.72</v>
      </c>
      <c r="AC153" s="150">
        <f>IF(Table_BDD[[#This Row],[Position]]="","",_xlfn.MINIFS(Table_BDD[Horodatage ouverture],Table_BDD[Date],Table_BDD[Date]))</f>
        <v>43879.671631944446</v>
      </c>
      <c r="AD153" s="149">
        <f>VLOOKUP(_xlfn.MINIFS(Table_BDD[Horodatage ouverture],Table_BDD[Date],Table_BDD[Date]),Table_BDD[[Horodatage ouverture]:[Heure derniere valeur]],AA$2)</f>
        <v>817.34</v>
      </c>
      <c r="AE153" s="149">
        <f>IF(VLOOKUP(_xlfn.MINIFS(Table_BDD[Horodatage ouverture],Table_BDD[Date],Table_BDD[Date]),Table_BDD[[Horodatage ouverture]:[Heure derniere valeur]],AA$2)=Table_BDD[[#This Row],[Equité avant trade]],VLOOKUP(_xlfn.MINIFS(Table_BDD[Horodatage ouverture],Table_BDD[Date],Table_BDD[Date]),Table_BDD[[Horodatage ouverture]:[Heure derniere valeur]],AA$2),0)</f>
        <v>0</v>
      </c>
      <c r="AF153" s="150">
        <f>IF(Table_BDD[[#This Row],[Position]]="","",_xlfn.MAXIFS(Table_BDD[Horodatage ouverture],Table_BDD[Date],Table_BDD[Date]))</f>
        <v>43879.751585648148</v>
      </c>
      <c r="AG153" s="32">
        <f>VLOOKUP(_xlfn.MAXIFS(Table_BDD[Horodatage cloture],Table_BDD[Date],Table_BDD[Date]),Table_BDD[[Horodatage ouverture]:[Heure derniere valeur]],AB$2)</f>
        <v>831.72</v>
      </c>
      <c r="AH153" s="32">
        <f>IF(VLOOKUP(_xlfn.MAXIFS(Table_BDD[Horodatage cloture],Table_BDD[Date],Table_BDD[Date]),Table_BDD[[Horodatage ouverture]:[Heure derniere valeur]],AB$2)=Table_BDD[[#This Row],[Equité après trade]],VLOOKUP(_xlfn.MAXIFS(Table_BDD[Horodatage cloture],Table_BDD[Date],Table_BDD[Date]),Table_BDD[[Horodatage ouverture]:[Heure derniere valeur]],AB$2),0)</f>
        <v>0</v>
      </c>
      <c r="AI153" s="32" t="e">
        <f>IF(Table_BDD[[#This Row],[Valeur fin de journée unique]]=0,#N/A,Table_BDD[[#This Row],[Valeur fin de journée unique]])</f>
        <v>#N/A</v>
      </c>
      <c r="AJ153" s="35">
        <f>IF(Table_BDD[[#This Row],[Position]]="","",(Table_BDD[[#This Row],[Equité après trade]]-Table_BDD[[#This Row],[Equité avant trade]])/Table_BDD[[#This Row],[Equité avant trade]])</f>
        <v>-5.1910350087337647E-3</v>
      </c>
      <c r="AK153" s="35" t="str">
        <f>IFERROR(((INDEX(Table_BDD[[Trade n°]:[Valeur fin de journée unique]],Table_BDD[[#This Row],[Nb de trade du jour]]+Table_BDD[[#This Row],[Trade n°]]-1,21))-Table_BDD[[#This Row],[Valeur début de journée unique]])/Table_BDD[[#This Row],[Valeur début de journée unique]],"")</f>
        <v/>
      </c>
      <c r="AL153" s="32">
        <f>IF(Table_BDD[[#This Row],[Position]]="","",MAX(Table_BDD[[#This Row],[Cumul équité]],AL152))</f>
        <v>1052.8399999999999</v>
      </c>
      <c r="AM153" s="32">
        <f>IF(Table_BDD[[#This Row],[Position]]="","",MIN(Table_BDD[[#This Row],[Cumul équité]],AL152))</f>
        <v>808.72</v>
      </c>
      <c r="AN153" s="97">
        <f>IF(Table_BDD[[#This Row],[Sommet Drawdown]]&gt;AL152,"",Table_BDD[[#This Row],[Creux Drawdown]]/Table_BDD[[#This Row],[Sommet Drawdown]]-1)</f>
        <v>-0.23186809011815657</v>
      </c>
      <c r="AO153" s="36">
        <f>IF(Table_BDD[[#This Row],[Position]]="","",IF(Table_BDD[[#This Row],[Type]]="buy",ROUND(Table_BDD[[#This Row],[Lvl Sortie]]-Table_BDD[[#This Row],[Lvl Entrée]],1),ROUND(Table_BDD[[#This Row],[Lvl Entrée]]-Table_BDD[[#This Row],[Lvl Sortie]],1)))</f>
        <v>-10.1</v>
      </c>
      <c r="AP153" s="36" t="str">
        <f>IF(Table_BDD[[#This Row],[Points]]&gt;0,Table_BDD[[#This Row],[Points]],"")</f>
        <v/>
      </c>
      <c r="AQ153" s="36">
        <f>IF(Table_BDD[[#This Row],[Points]]&lt;0,Table_BDD[[#This Row],[Points]],"")</f>
        <v>-10.1</v>
      </c>
      <c r="AR153" s="36">
        <f>SUM($AO$4:AO153)</f>
        <v>-407.20000000000022</v>
      </c>
      <c r="AS153" s="68">
        <f>IF(Table_BDD[[#This Row],[Position]]="","",IF(Table_BDD[[#This Row],[Conformité]]="Conforme",1,0))</f>
        <v>0</v>
      </c>
      <c r="AT153" s="68">
        <f>IF(Table_BDD[[#This Row],[Position]]="","",IF(Table_BDD[[#This Row],[Conformité]]="Non conforme",1,0))</f>
        <v>1</v>
      </c>
      <c r="AU153" s="37" t="s">
        <v>17</v>
      </c>
      <c r="AV153" s="37"/>
      <c r="AW153" s="37"/>
      <c r="AX153" s="37">
        <v>0</v>
      </c>
      <c r="AY153" s="37">
        <v>0</v>
      </c>
      <c r="AZ153" s="37">
        <v>0</v>
      </c>
      <c r="BA153" s="40" t="str">
        <f>IF(Table_BDD[[#This Row],[Position]]="","Sans objet",IF(AND(Table_BDD[[#This Row],[Type]]="sell",Table_BDD[[#This Row],[S / L]]&lt;Table_BDD[[#This Row],[Lvl Entrée]],Table_BDD[[#This Row],[Lvl Sortie]]&lt;=Table_BDD[[#This Row],[S / L]]+2,Table_BDD[[#This Row],[Lvl Sortie]]&lt;Table_BDD[[#This Row],[Lvl Entrée]]-19),"Oui",IF(AND(Table_BDD[[#This Row],[Type]]="buy",Table_BDD[[#This Row],[S / L]]&gt;Table_BDD[[#This Row],[Lvl Entrée]],Table_BDD[[#This Row],[Lvl Sortie]]&gt;=Table_BDD[[#This Row],[S / L]]-2,Table_BDD[[#This Row],[S / L]]&gt;Table_BDD[[#This Row],[Lvl Entrée]]+19),"Oui","Non")))</f>
        <v>Non</v>
      </c>
      <c r="BB153" s="40" t="str">
        <f>IF(Table_BDD[[#This Row],[Position]]="","Sans objet",IF(AND(Table_BDD[[#This Row],[Type]]="sell",Table_BDD[[#This Row],[S / L]]&lt;Table_BDD[[#This Row],[Lvl Entrée]],Table_BDD[[#This Row],[Points]]&gt;=-1),"Oui",IF(AND(Table_BDD[[#This Row],[Type]]="sell",Table_BDD[[#This Row],[S / L]]&gt;Table_BDD[[#This Row],[Lvl Entrée]]),"Non",IF(AND(Table_BDD[[#This Row],[Type]]="buy",Table_BDD[[#This Row],[S / L]]&lt;Table_BDD[[#This Row],[Lvl Entrée]]),"Non",IF(AND(Table_BDD[[#This Row],[Type]]="buy",Table_BDD[[#This Row],[S / L]]&gt;Table_BDD[[#This Row],[Lvl Entrée]],Table_BDD[[#This Row],[Points]]&gt;=-1),"Oui")))))</f>
        <v>Non</v>
      </c>
      <c r="BC153" s="40" t="str">
        <f>IF(Table_BDD[[#This Row],[Position]]="","Sans objet",IF(Table_BDD[[#This Row],[T / P]]="","Non",IF(AND(Table_BDD[[#This Row],[Type]]="sell",Table_BDD[[#This Row],[Lvl Sortie]]&lt;=Table_BDD[[#This Row],[T / P]]),"Oui",IF(AND(Table_BDD[[#This Row],[Type]]="buy",Table_BDD[[#This Row],[Lvl Sortie]]&gt;=Table_BDD[[#This Row],[T / P]]),"Oui","Non"))))</f>
        <v>Non</v>
      </c>
      <c r="BD153" s="91">
        <f t="array" ref="BD153">IFERROR(INDEX(downloadFile[#All],MATCH(Table_BDD[[#This Row],[Date]],downloadFile[[#All],[Column1]],0),2),BD152)</f>
        <v>1.0815999999999999</v>
      </c>
      <c r="BE153" s="89">
        <f>IF(Table_BDD[[#This Row],[Position]]="","",IF(Table_BDD[[#This Row],[Symbole]]="UsaInd",(Table_BDD[[#This Row],[Volume]]*Table_BDD[[#This Row],[Lvl Entrée]])/(Table_BDD[[#This Row],[Equité avant trade]]*Table_BDD[[#This Row],[EUR/USD]]),IF(Table_BDD[[#This Row],[Symbole]]="Ger30",(Table_BDD[[#This Row],[Volume]]*Table_BDD[[#This Row],[Lvl Entrée]])/Table_BDD[[#This Row],[Equité avant trade]],)))</f>
        <v>14.911079037143729</v>
      </c>
      <c r="BF153" s="38">
        <f>IF(Table_BDD[[#This Row],[Position]]="","",IF(Table_BDD[[#This Row],[Conformité]]="Non conforme",0,(MROUND(3*((Table_BDD[[#This Row],[Conviction]]+Table_BDD[[#This Row],[Timing]]+Table_BDD[[#This Row],[Sortie]])+1)-2,1))))</f>
        <v>0</v>
      </c>
      <c r="BG153" s="38" t="str">
        <f>IF(Table_BDD[[#This Row],[Position]]="","",IF(Table_BDD[[#This Row],[Points]]&lt;-5,"--",IF(AND(Table_BDD[[#This Row],[Points]]&gt;=-5,Table_BDD[[#This Row],[Points]]&lt;-1.5),"-",IF(AND(Table_BDD[[#This Row],[Points]]&gt;=-1.5,Table_BDD[[#This Row],[Points]]&lt;1.5),"0",IF(AND(Table_BDD[[#This Row],[Points]]&gt;=1.5,Table_BDD[[#This Row],[Points]]&lt;=70),"+",IF(Table_BDD[[#This Row],[Points]]&gt;70,"++"))))))</f>
        <v>--</v>
      </c>
      <c r="BH153" s="37" t="str">
        <f>IF(Table_BDD[[#This Row],[Position]]="","",IF(Table_BDD[[#This Row],[Points]]&gt;0,"Gagnant",IF(Table_BDD[[#This Row],[Points]]=0,"Flat","Perdant")))</f>
        <v>Perdant</v>
      </c>
      <c r="BI153" s="40">
        <f>IF(Table_BDD[[#This Row],[Position]]="","",IF(Table_BDD[[#This Row],[Résultat]]="Gagnant",1,0))</f>
        <v>0</v>
      </c>
      <c r="BJ153" s="40">
        <f>IF(Table_BDD[[#This Row],[Position]]="","",IF(Table_BDD[[#This Row],[Résultat]]="Perdant",1,0))</f>
        <v>1</v>
      </c>
      <c r="BK153" s="40"/>
      <c r="BL153" s="145" t="str">
        <f>IF(Table_BDD[[#This Row],[T / P]]="","",Table_BDD[[#This Row],[T / P]])</f>
        <v/>
      </c>
      <c r="BM153" s="147"/>
      <c r="BN153" s="147"/>
      <c r="BO153" s="147"/>
      <c r="BP153" s="147"/>
      <c r="BQ153" s="127"/>
    </row>
    <row r="154" spans="1:69" x14ac:dyDescent="0.2">
      <c r="A154" s="93">
        <v>43879.736400462964</v>
      </c>
      <c r="B154" s="94">
        <v>260162323</v>
      </c>
      <c r="C154" s="37" t="s">
        <v>8</v>
      </c>
      <c r="D154" s="37" t="s">
        <v>10</v>
      </c>
      <c r="E154" s="37">
        <v>0.45</v>
      </c>
      <c r="F154" s="95">
        <v>29132.2</v>
      </c>
      <c r="G154" s="95">
        <v>29130.7</v>
      </c>
      <c r="H154" s="95">
        <v>29057.200000000001</v>
      </c>
      <c r="I154" s="93">
        <v>43879.743333333332</v>
      </c>
      <c r="J154" s="95">
        <v>29131.56</v>
      </c>
      <c r="K154" s="95">
        <v>0</v>
      </c>
      <c r="L154" s="95">
        <v>0</v>
      </c>
      <c r="M154" s="32">
        <v>0.27</v>
      </c>
      <c r="N154" s="148">
        <f>IF(Table_BDD[[#This Row],[Position]]="","",ROW()-3)</f>
        <v>151</v>
      </c>
      <c r="O154" s="32">
        <f>SUM($L$4:M154)</f>
        <v>-191.00999999999996</v>
      </c>
      <c r="P154" s="32">
        <f>Table_BDD[[#This Row],[Equité avant trade]]+Table_BDD[[#This Row],[Profit]]+Table_BDD[[#This Row],[Echange]]</f>
        <v>808.99</v>
      </c>
      <c r="Q154" s="52">
        <f>INT(Table_BDD[[#This Row],[Horodatage cloture]])</f>
        <v>43879</v>
      </c>
      <c r="R154" s="34">
        <f>WEEKNUM(Table_BDD[[#This Row],[Horodatage cloture]],2)</f>
        <v>8</v>
      </c>
      <c r="S154" s="61">
        <f>WEEKDAY(Table_BDD[[#This Row],[Horodatage cloture]])</f>
        <v>3</v>
      </c>
      <c r="T154" s="63">
        <f>HOUR(Table_BDD[[#This Row],[Horodatage cloture]])</f>
        <v>17</v>
      </c>
      <c r="U154" s="68">
        <f>IF(Table_BDD[[#This Row],[Position]]="","",IF(Table_BDD[[#This Row],[Valeur début de journée unique]]&lt;&gt;0,1,0))</f>
        <v>0</v>
      </c>
      <c r="V154" s="68" t="str">
        <f>IF(Table_BDD[[#This Row],[Nb de séance de trading]]=1,COUNTIF(Table_BDD[Date],Table_BDD[[#This Row],[Date]]),"")</f>
        <v/>
      </c>
      <c r="W154" s="33">
        <f>IF(Table_BDD[[#This Row],[Position]]="","",IF(Table_BDD[[#This Row],[Type]]="buy",ROUND(Table_BDD[[#This Row],[Lvl Entrée]]-Table_BDD[[#This Row],[S / L]],1),ROUND(Table_BDD[[#This Row],[S / L]]-Table_BDD[[#This Row],[Lvl Entrée]],1)))</f>
        <v>-1.5</v>
      </c>
      <c r="X154" s="33">
        <f>IF(Table_BDD[[#This Row],[Position]]="","",IF(Table_BDD[[#This Row],[T / P]]=0,200,IF(Table_BDD[[#This Row],[Type]]="buy",ROUND(Table_BDD[[#This Row],[T / P]]-Table_BDD[[#This Row],[Lvl Entrée]],1),ROUND(Table_BDD[[#This Row],[Lvl Entrée]]-Table_BDD[[#This Row],[T / P]],1))))</f>
        <v>75</v>
      </c>
      <c r="Y154" s="34">
        <f>IF(Table_BDD[[#This Row],[Position]]="","",IF(Table_BDD[[#This Row],[Ecart du SL]]&gt;0,ROUND(ABS(Table_BDD[[#This Row],[Ecart du TP]])/ABS(Table_BDD[[#This Row],[Ecart du SL]]),1),ROUND(ABS(Table_BDD[[#This Row],[Ecart du TP]])/10,1)))</f>
        <v>7.5</v>
      </c>
      <c r="Z154" s="34">
        <f>IF(Table_BDD[[#This Row],[Position]]="","",IF(Table_BDD[[#This Row],[Ecart du SL]]&lt;0,IF(AND(Table_BDD[[#This Row],[Profit]]&gt;0,Table_BDD[[#This Row],[Type]]="sell"),ROUND((Table_BDD[[#This Row],[Lvl Entrée]]-Table_BDD[[#This Row],[Lvl Sortie]])/(10),1),IF(AND(Table_BDD[[#This Row],[Profit]]&gt;0,Table_BDD[[#This Row],[Type]]="buy"),ROUND((Table_BDD[[#This Row],[Lvl Sortie]]-Table_BDD[[#This Row],[Lvl Entrée]])/(10),1),)),IF(AND(Table_BDD[[#This Row],[Profit]]&gt;0,Table_BDD[[#This Row],[Type]]="sell"),ROUND((Table_BDD[[#This Row],[Lvl Entrée]]-Table_BDD[[#This Row],[Lvl Sortie]])/(Table_BDD[[#This Row],[S / L]]-Table_BDD[[#This Row],[Lvl Entrée]]),1),IF(AND(Table_BDD[[#This Row],[Profit]]&gt;0,Table_BDD[[#This Row],[Type]]="buy"),ROUND((Table_BDD[[#This Row],[Lvl Sortie]]-Table_BDD[[#This Row],[Lvl Entrée]])/(Table_BDD[[#This Row],[Lvl Entrée]]-Table_BDD[[#This Row],[S / L]]),1),ROUND(Table_BDD[[#This Row],[Points]]/10,1)))))</f>
        <v>0.1</v>
      </c>
      <c r="AA154" s="32">
        <f>IF(Table_BDD[[#This Row],[Position]]="",AA153,Table_BDD[[#This Row],[Equité après trade]]-Table_BDD[[#This Row],[Profit]]-Table_BDD[[#This Row],[Echange]])</f>
        <v>808.72</v>
      </c>
      <c r="AB154" s="149">
        <f>$B$1+SUM($L$4:M154)</f>
        <v>808.99</v>
      </c>
      <c r="AC154" s="150">
        <f>IF(Table_BDD[[#This Row],[Position]]="","",_xlfn.MINIFS(Table_BDD[Horodatage ouverture],Table_BDD[Date],Table_BDD[Date]))</f>
        <v>43879.671631944446</v>
      </c>
      <c r="AD154" s="149">
        <f>VLOOKUP(_xlfn.MINIFS(Table_BDD[Horodatage ouverture],Table_BDD[Date],Table_BDD[Date]),Table_BDD[[Horodatage ouverture]:[Heure derniere valeur]],AA$2)</f>
        <v>817.34</v>
      </c>
      <c r="AE154" s="149">
        <f>IF(VLOOKUP(_xlfn.MINIFS(Table_BDD[Horodatage ouverture],Table_BDD[Date],Table_BDD[Date]),Table_BDD[[Horodatage ouverture]:[Heure derniere valeur]],AA$2)=Table_BDD[[#This Row],[Equité avant trade]],VLOOKUP(_xlfn.MINIFS(Table_BDD[Horodatage ouverture],Table_BDD[Date],Table_BDD[Date]),Table_BDD[[Horodatage ouverture]:[Heure derniere valeur]],AA$2),0)</f>
        <v>0</v>
      </c>
      <c r="AF154" s="150">
        <f>IF(Table_BDD[[#This Row],[Position]]="","",_xlfn.MAXIFS(Table_BDD[Horodatage ouverture],Table_BDD[Date],Table_BDD[Date]))</f>
        <v>43879.751585648148</v>
      </c>
      <c r="AG154" s="32">
        <f>VLOOKUP(_xlfn.MAXIFS(Table_BDD[Horodatage cloture],Table_BDD[Date],Table_BDD[Date]),Table_BDD[[Horodatage ouverture]:[Heure derniere valeur]],AB$2)</f>
        <v>831.72</v>
      </c>
      <c r="AH154" s="32">
        <f>IF(VLOOKUP(_xlfn.MAXIFS(Table_BDD[Horodatage cloture],Table_BDD[Date],Table_BDD[Date]),Table_BDD[[Horodatage ouverture]:[Heure derniere valeur]],AB$2)=Table_BDD[[#This Row],[Equité après trade]],VLOOKUP(_xlfn.MAXIFS(Table_BDD[Horodatage cloture],Table_BDD[Date],Table_BDD[Date]),Table_BDD[[Horodatage ouverture]:[Heure derniere valeur]],AB$2),0)</f>
        <v>0</v>
      </c>
      <c r="AI154" s="32" t="e">
        <f>IF(Table_BDD[[#This Row],[Valeur fin de journée unique]]=0,#N/A,Table_BDD[[#This Row],[Valeur fin de journée unique]])</f>
        <v>#N/A</v>
      </c>
      <c r="AJ154" s="35">
        <f>IF(Table_BDD[[#This Row],[Position]]="","",(Table_BDD[[#This Row],[Equité après trade]]-Table_BDD[[#This Row],[Equité avant trade]])/Table_BDD[[#This Row],[Equité avant trade]])</f>
        <v>3.3386091601540931E-4</v>
      </c>
      <c r="AK154" s="35" t="str">
        <f>IFERROR(((INDEX(Table_BDD[[Trade n°]:[Valeur fin de journée unique]],Table_BDD[[#This Row],[Nb de trade du jour]]+Table_BDD[[#This Row],[Trade n°]]-1,21))-Table_BDD[[#This Row],[Valeur début de journée unique]])/Table_BDD[[#This Row],[Valeur début de journée unique]],"")</f>
        <v/>
      </c>
      <c r="AL154" s="32">
        <f>IF(Table_BDD[[#This Row],[Position]]="","",MAX(Table_BDD[[#This Row],[Cumul équité]],AL153))</f>
        <v>1052.8399999999999</v>
      </c>
      <c r="AM154" s="32">
        <f>IF(Table_BDD[[#This Row],[Position]]="","",MIN(Table_BDD[[#This Row],[Cumul équité]],AL153))</f>
        <v>808.99</v>
      </c>
      <c r="AN154" s="97">
        <f>IF(Table_BDD[[#This Row],[Sommet Drawdown]]&gt;AL153,"",Table_BDD[[#This Row],[Creux Drawdown]]/Table_BDD[[#This Row],[Sommet Drawdown]]-1)</f>
        <v>-0.23161164089510267</v>
      </c>
      <c r="AO154" s="36">
        <f>IF(Table_BDD[[#This Row],[Position]]="","",IF(Table_BDD[[#This Row],[Type]]="buy",ROUND(Table_BDD[[#This Row],[Lvl Sortie]]-Table_BDD[[#This Row],[Lvl Entrée]],1),ROUND(Table_BDD[[#This Row],[Lvl Entrée]]-Table_BDD[[#This Row],[Lvl Sortie]],1)))</f>
        <v>0.6</v>
      </c>
      <c r="AP154" s="36">
        <f>IF(Table_BDD[[#This Row],[Points]]&gt;0,Table_BDD[[#This Row],[Points]],"")</f>
        <v>0.6</v>
      </c>
      <c r="AQ154" s="36" t="str">
        <f>IF(Table_BDD[[#This Row],[Points]]&lt;0,Table_BDD[[#This Row],[Points]],"")</f>
        <v/>
      </c>
      <c r="AR154" s="36">
        <f>SUM($AO$4:AO154)</f>
        <v>-406.60000000000019</v>
      </c>
      <c r="AS154" s="68">
        <f>IF(Table_BDD[[#This Row],[Position]]="","",IF(Table_BDD[[#This Row],[Conformité]]="Conforme",1,0))</f>
        <v>0</v>
      </c>
      <c r="AT154" s="68">
        <f>IF(Table_BDD[[#This Row],[Position]]="","",IF(Table_BDD[[#This Row],[Conformité]]="Non conforme",1,0))</f>
        <v>1</v>
      </c>
      <c r="AU154" s="37" t="s">
        <v>17</v>
      </c>
      <c r="AV154" s="37"/>
      <c r="AW154" s="37"/>
      <c r="AX154" s="37">
        <v>0</v>
      </c>
      <c r="AY154" s="37">
        <v>0</v>
      </c>
      <c r="AZ154" s="37">
        <v>0</v>
      </c>
      <c r="BA154" s="40" t="str">
        <f>IF(Table_BDD[[#This Row],[Position]]="","Sans objet",IF(AND(Table_BDD[[#This Row],[Type]]="sell",Table_BDD[[#This Row],[S / L]]&lt;Table_BDD[[#This Row],[Lvl Entrée]],Table_BDD[[#This Row],[Lvl Sortie]]&lt;=Table_BDD[[#This Row],[S / L]]+2,Table_BDD[[#This Row],[Lvl Sortie]]&lt;Table_BDD[[#This Row],[Lvl Entrée]]-19),"Oui",IF(AND(Table_BDD[[#This Row],[Type]]="buy",Table_BDD[[#This Row],[S / L]]&gt;Table_BDD[[#This Row],[Lvl Entrée]],Table_BDD[[#This Row],[Lvl Sortie]]&gt;=Table_BDD[[#This Row],[S / L]]-2,Table_BDD[[#This Row],[S / L]]&gt;Table_BDD[[#This Row],[Lvl Entrée]]+19),"Oui","Non")))</f>
        <v>Non</v>
      </c>
      <c r="BB154" s="40" t="str">
        <f>IF(Table_BDD[[#This Row],[Position]]="","Sans objet",IF(AND(Table_BDD[[#This Row],[Type]]="sell",Table_BDD[[#This Row],[S / L]]&lt;Table_BDD[[#This Row],[Lvl Entrée]],Table_BDD[[#This Row],[Points]]&gt;=-1),"Oui",IF(AND(Table_BDD[[#This Row],[Type]]="sell",Table_BDD[[#This Row],[S / L]]&gt;Table_BDD[[#This Row],[Lvl Entrée]]),"Non",IF(AND(Table_BDD[[#This Row],[Type]]="buy",Table_BDD[[#This Row],[S / L]]&lt;Table_BDD[[#This Row],[Lvl Entrée]]),"Non",IF(AND(Table_BDD[[#This Row],[Type]]="buy",Table_BDD[[#This Row],[S / L]]&gt;Table_BDD[[#This Row],[Lvl Entrée]],Table_BDD[[#This Row],[Points]]&gt;=-1),"Oui")))))</f>
        <v>Oui</v>
      </c>
      <c r="BC154" s="40" t="str">
        <f>IF(Table_BDD[[#This Row],[Position]]="","Sans objet",IF(Table_BDD[[#This Row],[T / P]]="","Non",IF(AND(Table_BDD[[#This Row],[Type]]="sell",Table_BDD[[#This Row],[Lvl Sortie]]&lt;=Table_BDD[[#This Row],[T / P]]),"Oui",IF(AND(Table_BDD[[#This Row],[Type]]="buy",Table_BDD[[#This Row],[Lvl Sortie]]&gt;=Table_BDD[[#This Row],[T / P]]),"Oui","Non"))))</f>
        <v>Non</v>
      </c>
      <c r="BD154" s="91">
        <f t="array" ref="BD154">IFERROR(INDEX(downloadFile[#All],MATCH(Table_BDD[[#This Row],[Date]],downloadFile[[#All],[Column1]],0),2),BD153)</f>
        <v>1.0815999999999999</v>
      </c>
      <c r="BE154" s="89">
        <f>IF(Table_BDD[[#This Row],[Position]]="","",IF(Table_BDD[[#This Row],[Symbole]]="UsaInd",(Table_BDD[[#This Row],[Volume]]*Table_BDD[[#This Row],[Lvl Entrée]])/(Table_BDD[[#This Row],[Equité avant trade]]*Table_BDD[[#This Row],[EUR/USD]]),IF(Table_BDD[[#This Row],[Symbole]]="Ger30",(Table_BDD[[#This Row],[Volume]]*Table_BDD[[#This Row],[Lvl Entrée]])/Table_BDD[[#This Row],[Equité avant trade]],)))</f>
        <v>14.987214893899104</v>
      </c>
      <c r="BF154" s="38">
        <f>IF(Table_BDD[[#This Row],[Position]]="","",IF(Table_BDD[[#This Row],[Conformité]]="Non conforme",0,(MROUND(3*((Table_BDD[[#This Row],[Conviction]]+Table_BDD[[#This Row],[Timing]]+Table_BDD[[#This Row],[Sortie]])+1)-2,1))))</f>
        <v>0</v>
      </c>
      <c r="BG154" s="38" t="str">
        <f>IF(Table_BDD[[#This Row],[Position]]="","",IF(Table_BDD[[#This Row],[Points]]&lt;-5,"--",IF(AND(Table_BDD[[#This Row],[Points]]&gt;=-5,Table_BDD[[#This Row],[Points]]&lt;-1.5),"-",IF(AND(Table_BDD[[#This Row],[Points]]&gt;=-1.5,Table_BDD[[#This Row],[Points]]&lt;1.5),"0",IF(AND(Table_BDD[[#This Row],[Points]]&gt;=1.5,Table_BDD[[#This Row],[Points]]&lt;=70),"+",IF(Table_BDD[[#This Row],[Points]]&gt;70,"++"))))))</f>
        <v>0</v>
      </c>
      <c r="BH154" s="37" t="str">
        <f>IF(Table_BDD[[#This Row],[Position]]="","",IF(Table_BDD[[#This Row],[Points]]&gt;0,"Gagnant",IF(Table_BDD[[#This Row],[Points]]=0,"Flat","Perdant")))</f>
        <v>Gagnant</v>
      </c>
      <c r="BI154" s="40">
        <f>IF(Table_BDD[[#This Row],[Position]]="","",IF(Table_BDD[[#This Row],[Résultat]]="Gagnant",1,0))</f>
        <v>1</v>
      </c>
      <c r="BJ154" s="40">
        <f>IF(Table_BDD[[#This Row],[Position]]="","",IF(Table_BDD[[#This Row],[Résultat]]="Perdant",1,0))</f>
        <v>0</v>
      </c>
      <c r="BK154" s="40"/>
      <c r="BL154" s="145">
        <f>IF(Table_BDD[[#This Row],[T / P]]="","",Table_BDD[[#This Row],[T / P]])</f>
        <v>29057.200000000001</v>
      </c>
      <c r="BM154" s="147"/>
      <c r="BN154" s="147"/>
      <c r="BO154" s="147"/>
      <c r="BP154" s="147"/>
      <c r="BQ154" s="127"/>
    </row>
    <row r="155" spans="1:69" x14ac:dyDescent="0.2">
      <c r="A155" s="93">
        <v>43879.743391203701</v>
      </c>
      <c r="B155" s="94">
        <v>260163564</v>
      </c>
      <c r="C155" s="37" t="s">
        <v>8</v>
      </c>
      <c r="D155" s="37" t="s">
        <v>9</v>
      </c>
      <c r="E155" s="37">
        <v>0.45</v>
      </c>
      <c r="F155" s="95">
        <v>29133.42</v>
      </c>
      <c r="G155" s="95">
        <v>29123.42</v>
      </c>
      <c r="H155" s="95">
        <v>29163.42</v>
      </c>
      <c r="I155" s="93">
        <v>43879.747604166667</v>
      </c>
      <c r="J155" s="95">
        <v>29123.35</v>
      </c>
      <c r="K155" s="95">
        <v>0</v>
      </c>
      <c r="L155" s="95">
        <v>0</v>
      </c>
      <c r="M155" s="32">
        <v>-4.1900000000000004</v>
      </c>
      <c r="N155" s="148">
        <f>IF(Table_BDD[[#This Row],[Position]]="","",ROW()-3)</f>
        <v>152</v>
      </c>
      <c r="O155" s="32">
        <f>SUM($L$4:M155)</f>
        <v>-195.19999999999996</v>
      </c>
      <c r="P155" s="32">
        <f>Table_BDD[[#This Row],[Equité avant trade]]+Table_BDD[[#This Row],[Profit]]+Table_BDD[[#This Row],[Echange]]</f>
        <v>804.80000000000007</v>
      </c>
      <c r="Q155" s="52">
        <f>INT(Table_BDD[[#This Row],[Horodatage cloture]])</f>
        <v>43879</v>
      </c>
      <c r="R155" s="34">
        <f>WEEKNUM(Table_BDD[[#This Row],[Horodatage cloture]],2)</f>
        <v>8</v>
      </c>
      <c r="S155" s="61">
        <f>WEEKDAY(Table_BDD[[#This Row],[Horodatage cloture]])</f>
        <v>3</v>
      </c>
      <c r="T155" s="63">
        <f>HOUR(Table_BDD[[#This Row],[Horodatage cloture]])</f>
        <v>17</v>
      </c>
      <c r="U155" s="68">
        <f>IF(Table_BDD[[#This Row],[Position]]="","",IF(Table_BDD[[#This Row],[Valeur début de journée unique]]&lt;&gt;0,1,0))</f>
        <v>0</v>
      </c>
      <c r="V155" s="68" t="str">
        <f>IF(Table_BDD[[#This Row],[Nb de séance de trading]]=1,COUNTIF(Table_BDD[Date],Table_BDD[[#This Row],[Date]]),"")</f>
        <v/>
      </c>
      <c r="W155" s="33">
        <f>IF(Table_BDD[[#This Row],[Position]]="","",IF(Table_BDD[[#This Row],[Type]]="buy",ROUND(Table_BDD[[#This Row],[Lvl Entrée]]-Table_BDD[[#This Row],[S / L]],1),ROUND(Table_BDD[[#This Row],[S / L]]-Table_BDD[[#This Row],[Lvl Entrée]],1)))</f>
        <v>10</v>
      </c>
      <c r="X155" s="33">
        <f>IF(Table_BDD[[#This Row],[Position]]="","",IF(Table_BDD[[#This Row],[T / P]]=0,200,IF(Table_BDD[[#This Row],[Type]]="buy",ROUND(Table_BDD[[#This Row],[T / P]]-Table_BDD[[#This Row],[Lvl Entrée]],1),ROUND(Table_BDD[[#This Row],[Lvl Entrée]]-Table_BDD[[#This Row],[T / P]],1))))</f>
        <v>30</v>
      </c>
      <c r="Y155" s="34">
        <f>IF(Table_BDD[[#This Row],[Position]]="","",IF(Table_BDD[[#This Row],[Ecart du SL]]&gt;0,ROUND(ABS(Table_BDD[[#This Row],[Ecart du TP]])/ABS(Table_BDD[[#This Row],[Ecart du SL]]),1),ROUND(ABS(Table_BDD[[#This Row],[Ecart du TP]])/10,1)))</f>
        <v>3</v>
      </c>
      <c r="Z155" s="34">
        <f>IF(Table_BDD[[#This Row],[Position]]="","",IF(Table_BDD[[#This Row],[Ecart du SL]]&lt;0,IF(AND(Table_BDD[[#This Row],[Profit]]&gt;0,Table_BDD[[#This Row],[Type]]="sell"),ROUND((Table_BDD[[#This Row],[Lvl Entrée]]-Table_BDD[[#This Row],[Lvl Sortie]])/(10),1),IF(AND(Table_BDD[[#This Row],[Profit]]&gt;0,Table_BDD[[#This Row],[Type]]="buy"),ROUND((Table_BDD[[#This Row],[Lvl Sortie]]-Table_BDD[[#This Row],[Lvl Entrée]])/(10),1),)),IF(AND(Table_BDD[[#This Row],[Profit]]&gt;0,Table_BDD[[#This Row],[Type]]="sell"),ROUND((Table_BDD[[#This Row],[Lvl Entrée]]-Table_BDD[[#This Row],[Lvl Sortie]])/(Table_BDD[[#This Row],[S / L]]-Table_BDD[[#This Row],[Lvl Entrée]]),1),IF(AND(Table_BDD[[#This Row],[Profit]]&gt;0,Table_BDD[[#This Row],[Type]]="buy"),ROUND((Table_BDD[[#This Row],[Lvl Sortie]]-Table_BDD[[#This Row],[Lvl Entrée]])/(Table_BDD[[#This Row],[Lvl Entrée]]-Table_BDD[[#This Row],[S / L]]),1),ROUND(Table_BDD[[#This Row],[Points]]/10,1)))))</f>
        <v>-1</v>
      </c>
      <c r="AA155" s="32">
        <f>IF(Table_BDD[[#This Row],[Position]]="",AA154,Table_BDD[[#This Row],[Equité après trade]]-Table_BDD[[#This Row],[Profit]]-Table_BDD[[#This Row],[Echange]])</f>
        <v>808.99000000000012</v>
      </c>
      <c r="AB155" s="149">
        <f>$B$1+SUM($L$4:M155)</f>
        <v>804.80000000000007</v>
      </c>
      <c r="AC155" s="150">
        <f>IF(Table_BDD[[#This Row],[Position]]="","",_xlfn.MINIFS(Table_BDD[Horodatage ouverture],Table_BDD[Date],Table_BDD[Date]))</f>
        <v>43879.671631944446</v>
      </c>
      <c r="AD155" s="149">
        <f>VLOOKUP(_xlfn.MINIFS(Table_BDD[Horodatage ouverture],Table_BDD[Date],Table_BDD[Date]),Table_BDD[[Horodatage ouverture]:[Heure derniere valeur]],AA$2)</f>
        <v>817.34</v>
      </c>
      <c r="AE155" s="149">
        <f>IF(VLOOKUP(_xlfn.MINIFS(Table_BDD[Horodatage ouverture],Table_BDD[Date],Table_BDD[Date]),Table_BDD[[Horodatage ouverture]:[Heure derniere valeur]],AA$2)=Table_BDD[[#This Row],[Equité avant trade]],VLOOKUP(_xlfn.MINIFS(Table_BDD[Horodatage ouverture],Table_BDD[Date],Table_BDD[Date]),Table_BDD[[Horodatage ouverture]:[Heure derniere valeur]],AA$2),0)</f>
        <v>0</v>
      </c>
      <c r="AF155" s="150">
        <f>IF(Table_BDD[[#This Row],[Position]]="","",_xlfn.MAXIFS(Table_BDD[Horodatage ouverture],Table_BDD[Date],Table_BDD[Date]))</f>
        <v>43879.751585648148</v>
      </c>
      <c r="AG155" s="32">
        <f>VLOOKUP(_xlfn.MAXIFS(Table_BDD[Horodatage cloture],Table_BDD[Date],Table_BDD[Date]),Table_BDD[[Horodatage ouverture]:[Heure derniere valeur]],AB$2)</f>
        <v>831.72</v>
      </c>
      <c r="AH155" s="32">
        <f>IF(VLOOKUP(_xlfn.MAXIFS(Table_BDD[Horodatage cloture],Table_BDD[Date],Table_BDD[Date]),Table_BDD[[Horodatage ouverture]:[Heure derniere valeur]],AB$2)=Table_BDD[[#This Row],[Equité après trade]],VLOOKUP(_xlfn.MAXIFS(Table_BDD[Horodatage cloture],Table_BDD[Date],Table_BDD[Date]),Table_BDD[[Horodatage ouverture]:[Heure derniere valeur]],AB$2),0)</f>
        <v>0</v>
      </c>
      <c r="AI155" s="32" t="e">
        <f>IF(Table_BDD[[#This Row],[Valeur fin de journée unique]]=0,#N/A,Table_BDD[[#This Row],[Valeur fin de journée unique]])</f>
        <v>#N/A</v>
      </c>
      <c r="AJ155" s="35">
        <f>IF(Table_BDD[[#This Row],[Position]]="","",(Table_BDD[[#This Row],[Equité après trade]]-Table_BDD[[#This Row],[Equité avant trade]])/Table_BDD[[#This Row],[Equité avant trade]])</f>
        <v>-5.1792976427397792E-3</v>
      </c>
      <c r="AK155" s="35" t="str">
        <f>IFERROR(((INDEX(Table_BDD[[Trade n°]:[Valeur fin de journée unique]],Table_BDD[[#This Row],[Nb de trade du jour]]+Table_BDD[[#This Row],[Trade n°]]-1,21))-Table_BDD[[#This Row],[Valeur début de journée unique]])/Table_BDD[[#This Row],[Valeur début de journée unique]],"")</f>
        <v/>
      </c>
      <c r="AL155" s="32">
        <f>IF(Table_BDD[[#This Row],[Position]]="","",MAX(Table_BDD[[#This Row],[Cumul équité]],AL154))</f>
        <v>1052.8399999999999</v>
      </c>
      <c r="AM155" s="32">
        <f>IF(Table_BDD[[#This Row],[Position]]="","",MIN(Table_BDD[[#This Row],[Cumul équité]],AL154))</f>
        <v>804.80000000000007</v>
      </c>
      <c r="AN155" s="97">
        <f>IF(Table_BDD[[#This Row],[Sommet Drawdown]]&gt;AL154,"",Table_BDD[[#This Row],[Creux Drawdown]]/Table_BDD[[#This Row],[Sommet Drawdown]]-1)</f>
        <v>-0.2355913529121233</v>
      </c>
      <c r="AO155" s="36">
        <f>IF(Table_BDD[[#This Row],[Position]]="","",IF(Table_BDD[[#This Row],[Type]]="buy",ROUND(Table_BDD[[#This Row],[Lvl Sortie]]-Table_BDD[[#This Row],[Lvl Entrée]],1),ROUND(Table_BDD[[#This Row],[Lvl Entrée]]-Table_BDD[[#This Row],[Lvl Sortie]],1)))</f>
        <v>-10.1</v>
      </c>
      <c r="AP155" s="36" t="str">
        <f>IF(Table_BDD[[#This Row],[Points]]&gt;0,Table_BDD[[#This Row],[Points]],"")</f>
        <v/>
      </c>
      <c r="AQ155" s="36">
        <f>IF(Table_BDD[[#This Row],[Points]]&lt;0,Table_BDD[[#This Row],[Points]],"")</f>
        <v>-10.1</v>
      </c>
      <c r="AR155" s="36">
        <f>SUM($AO$4:AO155)</f>
        <v>-416.70000000000022</v>
      </c>
      <c r="AS155" s="68">
        <f>IF(Table_BDD[[#This Row],[Position]]="","",IF(Table_BDD[[#This Row],[Conformité]]="Conforme",1,0))</f>
        <v>0</v>
      </c>
      <c r="AT155" s="68">
        <f>IF(Table_BDD[[#This Row],[Position]]="","",IF(Table_BDD[[#This Row],[Conformité]]="Non conforme",1,0))</f>
        <v>1</v>
      </c>
      <c r="AU155" s="37" t="s">
        <v>17</v>
      </c>
      <c r="AV155" s="37"/>
      <c r="AW155" s="37"/>
      <c r="AX155" s="37">
        <v>0</v>
      </c>
      <c r="AY155" s="37">
        <v>0</v>
      </c>
      <c r="AZ155" s="37">
        <v>0</v>
      </c>
      <c r="BA155" s="40" t="str">
        <f>IF(Table_BDD[[#This Row],[Position]]="","Sans objet",IF(AND(Table_BDD[[#This Row],[Type]]="sell",Table_BDD[[#This Row],[S / L]]&lt;Table_BDD[[#This Row],[Lvl Entrée]],Table_BDD[[#This Row],[Lvl Sortie]]&lt;=Table_BDD[[#This Row],[S / L]]+2,Table_BDD[[#This Row],[Lvl Sortie]]&lt;Table_BDD[[#This Row],[Lvl Entrée]]-19),"Oui",IF(AND(Table_BDD[[#This Row],[Type]]="buy",Table_BDD[[#This Row],[S / L]]&gt;Table_BDD[[#This Row],[Lvl Entrée]],Table_BDD[[#This Row],[Lvl Sortie]]&gt;=Table_BDD[[#This Row],[S / L]]-2,Table_BDD[[#This Row],[S / L]]&gt;Table_BDD[[#This Row],[Lvl Entrée]]+19),"Oui","Non")))</f>
        <v>Non</v>
      </c>
      <c r="BB155" s="40" t="str">
        <f>IF(Table_BDD[[#This Row],[Position]]="","Sans objet",IF(AND(Table_BDD[[#This Row],[Type]]="sell",Table_BDD[[#This Row],[S / L]]&lt;Table_BDD[[#This Row],[Lvl Entrée]],Table_BDD[[#This Row],[Points]]&gt;=-1),"Oui",IF(AND(Table_BDD[[#This Row],[Type]]="sell",Table_BDD[[#This Row],[S / L]]&gt;Table_BDD[[#This Row],[Lvl Entrée]]),"Non",IF(AND(Table_BDD[[#This Row],[Type]]="buy",Table_BDD[[#This Row],[S / L]]&lt;Table_BDD[[#This Row],[Lvl Entrée]]),"Non",IF(AND(Table_BDD[[#This Row],[Type]]="buy",Table_BDD[[#This Row],[S / L]]&gt;Table_BDD[[#This Row],[Lvl Entrée]],Table_BDD[[#This Row],[Points]]&gt;=-1),"Oui")))))</f>
        <v>Non</v>
      </c>
      <c r="BC155" s="40" t="str">
        <f>IF(Table_BDD[[#This Row],[Position]]="","Sans objet",IF(Table_BDD[[#This Row],[T / P]]="","Non",IF(AND(Table_BDD[[#This Row],[Type]]="sell",Table_BDD[[#This Row],[Lvl Sortie]]&lt;=Table_BDD[[#This Row],[T / P]]),"Oui",IF(AND(Table_BDD[[#This Row],[Type]]="buy",Table_BDD[[#This Row],[Lvl Sortie]]&gt;=Table_BDD[[#This Row],[T / P]]),"Oui","Non"))))</f>
        <v>Non</v>
      </c>
      <c r="BD155" s="91">
        <f t="array" ref="BD155">IFERROR(INDEX(downloadFile[#All],MATCH(Table_BDD[[#This Row],[Date]],downloadFile[[#All],[Column1]],0),2),BD154)</f>
        <v>1.0815999999999999</v>
      </c>
      <c r="BE155" s="89">
        <f>IF(Table_BDD[[#This Row],[Position]]="","",IF(Table_BDD[[#This Row],[Symbole]]="UsaInd",(Table_BDD[[#This Row],[Volume]]*Table_BDD[[#This Row],[Lvl Entrée]])/(Table_BDD[[#This Row],[Equité avant trade]]*Table_BDD[[#This Row],[EUR/USD]]),IF(Table_BDD[[#This Row],[Symbole]]="Ger30",(Table_BDD[[#This Row],[Volume]]*Table_BDD[[#This Row],[Lvl Entrée]])/Table_BDD[[#This Row],[Equité avant trade]],)))</f>
        <v>14.982840344571661</v>
      </c>
      <c r="BF155" s="38">
        <f>IF(Table_BDD[[#This Row],[Position]]="","",IF(Table_BDD[[#This Row],[Conformité]]="Non conforme",0,(MROUND(3*((Table_BDD[[#This Row],[Conviction]]+Table_BDD[[#This Row],[Timing]]+Table_BDD[[#This Row],[Sortie]])+1)-2,1))))</f>
        <v>0</v>
      </c>
      <c r="BG155" s="38" t="str">
        <f>IF(Table_BDD[[#This Row],[Position]]="","",IF(Table_BDD[[#This Row],[Points]]&lt;-5,"--",IF(AND(Table_BDD[[#This Row],[Points]]&gt;=-5,Table_BDD[[#This Row],[Points]]&lt;-1.5),"-",IF(AND(Table_BDD[[#This Row],[Points]]&gt;=-1.5,Table_BDD[[#This Row],[Points]]&lt;1.5),"0",IF(AND(Table_BDD[[#This Row],[Points]]&gt;=1.5,Table_BDD[[#This Row],[Points]]&lt;=70),"+",IF(Table_BDD[[#This Row],[Points]]&gt;70,"++"))))))</f>
        <v>--</v>
      </c>
      <c r="BH155" s="37" t="str">
        <f>IF(Table_BDD[[#This Row],[Position]]="","",IF(Table_BDD[[#This Row],[Points]]&gt;0,"Gagnant",IF(Table_BDD[[#This Row],[Points]]=0,"Flat","Perdant")))</f>
        <v>Perdant</v>
      </c>
      <c r="BI155" s="40">
        <f>IF(Table_BDD[[#This Row],[Position]]="","",IF(Table_BDD[[#This Row],[Résultat]]="Gagnant",1,0))</f>
        <v>0</v>
      </c>
      <c r="BJ155" s="40">
        <f>IF(Table_BDD[[#This Row],[Position]]="","",IF(Table_BDD[[#This Row],[Résultat]]="Perdant",1,0))</f>
        <v>1</v>
      </c>
      <c r="BK155" s="40"/>
      <c r="BL155" s="145">
        <f>IF(Table_BDD[[#This Row],[T / P]]="","",Table_BDD[[#This Row],[T / P]])</f>
        <v>29163.42</v>
      </c>
      <c r="BM155" s="147"/>
      <c r="BN155" s="147"/>
      <c r="BO155" s="147"/>
      <c r="BP155" s="147"/>
      <c r="BQ155" s="127"/>
    </row>
    <row r="156" spans="1:69" x14ac:dyDescent="0.2">
      <c r="A156" s="93">
        <v>43879.74763888889</v>
      </c>
      <c r="B156" s="94">
        <v>260163941</v>
      </c>
      <c r="C156" s="37" t="s">
        <v>8</v>
      </c>
      <c r="D156" s="37" t="s">
        <v>10</v>
      </c>
      <c r="E156" s="37">
        <v>0.45</v>
      </c>
      <c r="F156" s="95">
        <v>29123.279999999999</v>
      </c>
      <c r="G156" s="95">
        <v>29133.279999999999</v>
      </c>
      <c r="H156" s="95">
        <v>29058.28</v>
      </c>
      <c r="I156" s="93">
        <v>43879.751574074071</v>
      </c>
      <c r="J156" s="95">
        <v>29130.47</v>
      </c>
      <c r="K156" s="95">
        <v>0</v>
      </c>
      <c r="L156" s="95">
        <v>0</v>
      </c>
      <c r="M156" s="32">
        <v>-3</v>
      </c>
      <c r="N156" s="148">
        <f>IF(Table_BDD[[#This Row],[Position]]="","",ROW()-3)</f>
        <v>153</v>
      </c>
      <c r="O156" s="32">
        <f>SUM($L$4:M156)</f>
        <v>-198.19999999999996</v>
      </c>
      <c r="P156" s="32">
        <f>Table_BDD[[#This Row],[Equité avant trade]]+Table_BDD[[#This Row],[Profit]]+Table_BDD[[#This Row],[Echange]]</f>
        <v>801.80000000000007</v>
      </c>
      <c r="Q156" s="52">
        <f>INT(Table_BDD[[#This Row],[Horodatage cloture]])</f>
        <v>43879</v>
      </c>
      <c r="R156" s="34">
        <f>WEEKNUM(Table_BDD[[#This Row],[Horodatage cloture]],2)</f>
        <v>8</v>
      </c>
      <c r="S156" s="61">
        <f>WEEKDAY(Table_BDD[[#This Row],[Horodatage cloture]])</f>
        <v>3</v>
      </c>
      <c r="T156" s="63">
        <f>HOUR(Table_BDD[[#This Row],[Horodatage cloture]])</f>
        <v>18</v>
      </c>
      <c r="U156" s="68">
        <f>IF(Table_BDD[[#This Row],[Position]]="","",IF(Table_BDD[[#This Row],[Valeur début de journée unique]]&lt;&gt;0,1,0))</f>
        <v>0</v>
      </c>
      <c r="V156" s="68" t="str">
        <f>IF(Table_BDD[[#This Row],[Nb de séance de trading]]=1,COUNTIF(Table_BDD[Date],Table_BDD[[#This Row],[Date]]),"")</f>
        <v/>
      </c>
      <c r="W156" s="33">
        <f>IF(Table_BDD[[#This Row],[Position]]="","",IF(Table_BDD[[#This Row],[Type]]="buy",ROUND(Table_BDD[[#This Row],[Lvl Entrée]]-Table_BDD[[#This Row],[S / L]],1),ROUND(Table_BDD[[#This Row],[S / L]]-Table_BDD[[#This Row],[Lvl Entrée]],1)))</f>
        <v>10</v>
      </c>
      <c r="X156" s="33">
        <f>IF(Table_BDD[[#This Row],[Position]]="","",IF(Table_BDD[[#This Row],[T / P]]=0,200,IF(Table_BDD[[#This Row],[Type]]="buy",ROUND(Table_BDD[[#This Row],[T / P]]-Table_BDD[[#This Row],[Lvl Entrée]],1),ROUND(Table_BDD[[#This Row],[Lvl Entrée]]-Table_BDD[[#This Row],[T / P]],1))))</f>
        <v>65</v>
      </c>
      <c r="Y156" s="34">
        <f>IF(Table_BDD[[#This Row],[Position]]="","",IF(Table_BDD[[#This Row],[Ecart du SL]]&gt;0,ROUND(ABS(Table_BDD[[#This Row],[Ecart du TP]])/ABS(Table_BDD[[#This Row],[Ecart du SL]]),1),ROUND(ABS(Table_BDD[[#This Row],[Ecart du TP]])/10,1)))</f>
        <v>6.5</v>
      </c>
      <c r="Z156" s="34">
        <f>IF(Table_BDD[[#This Row],[Position]]="","",IF(Table_BDD[[#This Row],[Ecart du SL]]&lt;0,IF(AND(Table_BDD[[#This Row],[Profit]]&gt;0,Table_BDD[[#This Row],[Type]]="sell"),ROUND((Table_BDD[[#This Row],[Lvl Entrée]]-Table_BDD[[#This Row],[Lvl Sortie]])/(10),1),IF(AND(Table_BDD[[#This Row],[Profit]]&gt;0,Table_BDD[[#This Row],[Type]]="buy"),ROUND((Table_BDD[[#This Row],[Lvl Sortie]]-Table_BDD[[#This Row],[Lvl Entrée]])/(10),1),)),IF(AND(Table_BDD[[#This Row],[Profit]]&gt;0,Table_BDD[[#This Row],[Type]]="sell"),ROUND((Table_BDD[[#This Row],[Lvl Entrée]]-Table_BDD[[#This Row],[Lvl Sortie]])/(Table_BDD[[#This Row],[S / L]]-Table_BDD[[#This Row],[Lvl Entrée]]),1),IF(AND(Table_BDD[[#This Row],[Profit]]&gt;0,Table_BDD[[#This Row],[Type]]="buy"),ROUND((Table_BDD[[#This Row],[Lvl Sortie]]-Table_BDD[[#This Row],[Lvl Entrée]])/(Table_BDD[[#This Row],[Lvl Entrée]]-Table_BDD[[#This Row],[S / L]]),1),ROUND(Table_BDD[[#This Row],[Points]]/10,1)))))</f>
        <v>-0.7</v>
      </c>
      <c r="AA156" s="32">
        <f>IF(Table_BDD[[#This Row],[Position]]="",AA155,Table_BDD[[#This Row],[Equité après trade]]-Table_BDD[[#This Row],[Profit]]-Table_BDD[[#This Row],[Echange]])</f>
        <v>804.80000000000007</v>
      </c>
      <c r="AB156" s="149">
        <f>$B$1+SUM($L$4:M156)</f>
        <v>801.80000000000007</v>
      </c>
      <c r="AC156" s="150">
        <f>IF(Table_BDD[[#This Row],[Position]]="","",_xlfn.MINIFS(Table_BDD[Horodatage ouverture],Table_BDD[Date],Table_BDD[Date]))</f>
        <v>43879.671631944446</v>
      </c>
      <c r="AD156" s="149">
        <f>VLOOKUP(_xlfn.MINIFS(Table_BDD[Horodatage ouverture],Table_BDD[Date],Table_BDD[Date]),Table_BDD[[Horodatage ouverture]:[Heure derniere valeur]],AA$2)</f>
        <v>817.34</v>
      </c>
      <c r="AE156" s="149">
        <f>IF(VLOOKUP(_xlfn.MINIFS(Table_BDD[Horodatage ouverture],Table_BDD[Date],Table_BDD[Date]),Table_BDD[[Horodatage ouverture]:[Heure derniere valeur]],AA$2)=Table_BDD[[#This Row],[Equité avant trade]],VLOOKUP(_xlfn.MINIFS(Table_BDD[Horodatage ouverture],Table_BDD[Date],Table_BDD[Date]),Table_BDD[[Horodatage ouverture]:[Heure derniere valeur]],AA$2),0)</f>
        <v>0</v>
      </c>
      <c r="AF156" s="150">
        <f>IF(Table_BDD[[#This Row],[Position]]="","",_xlfn.MAXIFS(Table_BDD[Horodatage ouverture],Table_BDD[Date],Table_BDD[Date]))</f>
        <v>43879.751585648148</v>
      </c>
      <c r="AG156" s="32">
        <f>VLOOKUP(_xlfn.MAXIFS(Table_BDD[Horodatage cloture],Table_BDD[Date],Table_BDD[Date]),Table_BDD[[Horodatage ouverture]:[Heure derniere valeur]],AB$2)</f>
        <v>831.72</v>
      </c>
      <c r="AH156" s="32">
        <f>IF(VLOOKUP(_xlfn.MAXIFS(Table_BDD[Horodatage cloture],Table_BDD[Date],Table_BDD[Date]),Table_BDD[[Horodatage ouverture]:[Heure derniere valeur]],AB$2)=Table_BDD[[#This Row],[Equité après trade]],VLOOKUP(_xlfn.MAXIFS(Table_BDD[Horodatage cloture],Table_BDD[Date],Table_BDD[Date]),Table_BDD[[Horodatage ouverture]:[Heure derniere valeur]],AB$2),0)</f>
        <v>0</v>
      </c>
      <c r="AI156" s="32" t="e">
        <f>IF(Table_BDD[[#This Row],[Valeur fin de journée unique]]=0,#N/A,Table_BDD[[#This Row],[Valeur fin de journée unique]])</f>
        <v>#N/A</v>
      </c>
      <c r="AJ156" s="35">
        <f>IF(Table_BDD[[#This Row],[Position]]="","",(Table_BDD[[#This Row],[Equité après trade]]-Table_BDD[[#This Row],[Equité avant trade]])/Table_BDD[[#This Row],[Equité avant trade]])</f>
        <v>-3.7276341948310138E-3</v>
      </c>
      <c r="AK156" s="35" t="str">
        <f>IFERROR(((INDEX(Table_BDD[[Trade n°]:[Valeur fin de journée unique]],Table_BDD[[#This Row],[Nb de trade du jour]]+Table_BDD[[#This Row],[Trade n°]]-1,21))-Table_BDD[[#This Row],[Valeur début de journée unique]])/Table_BDD[[#This Row],[Valeur début de journée unique]],"")</f>
        <v/>
      </c>
      <c r="AL156" s="32">
        <f>IF(Table_BDD[[#This Row],[Position]]="","",MAX(Table_BDD[[#This Row],[Cumul équité]],AL155))</f>
        <v>1052.8399999999999</v>
      </c>
      <c r="AM156" s="32">
        <f>IF(Table_BDD[[#This Row],[Position]]="","",MIN(Table_BDD[[#This Row],[Cumul équité]],AL155))</f>
        <v>801.80000000000007</v>
      </c>
      <c r="AN156" s="97">
        <f>IF(Table_BDD[[#This Row],[Sommet Drawdown]]&gt;AL155,"",Table_BDD[[#This Row],[Creux Drawdown]]/Table_BDD[[#This Row],[Sommet Drawdown]]-1)</f>
        <v>-0.23844078872383256</v>
      </c>
      <c r="AO156" s="36">
        <f>IF(Table_BDD[[#This Row],[Position]]="","",IF(Table_BDD[[#This Row],[Type]]="buy",ROUND(Table_BDD[[#This Row],[Lvl Sortie]]-Table_BDD[[#This Row],[Lvl Entrée]],1),ROUND(Table_BDD[[#This Row],[Lvl Entrée]]-Table_BDD[[#This Row],[Lvl Sortie]],1)))</f>
        <v>-7.2</v>
      </c>
      <c r="AP156" s="36" t="str">
        <f>IF(Table_BDD[[#This Row],[Points]]&gt;0,Table_BDD[[#This Row],[Points]],"")</f>
        <v/>
      </c>
      <c r="AQ156" s="36">
        <f>IF(Table_BDD[[#This Row],[Points]]&lt;0,Table_BDD[[#This Row],[Points]],"")</f>
        <v>-7.2</v>
      </c>
      <c r="AR156" s="36">
        <f>SUM($AO$4:AO156)</f>
        <v>-423.9000000000002</v>
      </c>
      <c r="AS156" s="68">
        <f>IF(Table_BDD[[#This Row],[Position]]="","",IF(Table_BDD[[#This Row],[Conformité]]="Conforme",1,0))</f>
        <v>0</v>
      </c>
      <c r="AT156" s="68">
        <f>IF(Table_BDD[[#This Row],[Position]]="","",IF(Table_BDD[[#This Row],[Conformité]]="Non conforme",1,0))</f>
        <v>1</v>
      </c>
      <c r="AU156" s="37" t="s">
        <v>17</v>
      </c>
      <c r="AV156" s="37"/>
      <c r="AW156" s="37"/>
      <c r="AX156" s="37">
        <v>0</v>
      </c>
      <c r="AY156" s="37">
        <v>0</v>
      </c>
      <c r="AZ156" s="37">
        <v>0</v>
      </c>
      <c r="BA156" s="40" t="str">
        <f>IF(Table_BDD[[#This Row],[Position]]="","Sans objet",IF(AND(Table_BDD[[#This Row],[Type]]="sell",Table_BDD[[#This Row],[S / L]]&lt;Table_BDD[[#This Row],[Lvl Entrée]],Table_BDD[[#This Row],[Lvl Sortie]]&lt;=Table_BDD[[#This Row],[S / L]]+2,Table_BDD[[#This Row],[Lvl Sortie]]&lt;Table_BDD[[#This Row],[Lvl Entrée]]-19),"Oui",IF(AND(Table_BDD[[#This Row],[Type]]="buy",Table_BDD[[#This Row],[S / L]]&gt;Table_BDD[[#This Row],[Lvl Entrée]],Table_BDD[[#This Row],[Lvl Sortie]]&gt;=Table_BDD[[#This Row],[S / L]]-2,Table_BDD[[#This Row],[S / L]]&gt;Table_BDD[[#This Row],[Lvl Entrée]]+19),"Oui","Non")))</f>
        <v>Non</v>
      </c>
      <c r="BB156" s="40" t="str">
        <f>IF(Table_BDD[[#This Row],[Position]]="","Sans objet",IF(AND(Table_BDD[[#This Row],[Type]]="sell",Table_BDD[[#This Row],[S / L]]&lt;Table_BDD[[#This Row],[Lvl Entrée]],Table_BDD[[#This Row],[Points]]&gt;=-1),"Oui",IF(AND(Table_BDD[[#This Row],[Type]]="sell",Table_BDD[[#This Row],[S / L]]&gt;Table_BDD[[#This Row],[Lvl Entrée]]),"Non",IF(AND(Table_BDD[[#This Row],[Type]]="buy",Table_BDD[[#This Row],[S / L]]&lt;Table_BDD[[#This Row],[Lvl Entrée]]),"Non",IF(AND(Table_BDD[[#This Row],[Type]]="buy",Table_BDD[[#This Row],[S / L]]&gt;Table_BDD[[#This Row],[Lvl Entrée]],Table_BDD[[#This Row],[Points]]&gt;=-1),"Oui")))))</f>
        <v>Non</v>
      </c>
      <c r="BC156" s="40" t="str">
        <f>IF(Table_BDD[[#This Row],[Position]]="","Sans objet",IF(Table_BDD[[#This Row],[T / P]]="","Non",IF(AND(Table_BDD[[#This Row],[Type]]="sell",Table_BDD[[#This Row],[Lvl Sortie]]&lt;=Table_BDD[[#This Row],[T / P]]),"Oui",IF(AND(Table_BDD[[#This Row],[Type]]="buy",Table_BDD[[#This Row],[Lvl Sortie]]&gt;=Table_BDD[[#This Row],[T / P]]),"Oui","Non"))))</f>
        <v>Non</v>
      </c>
      <c r="BD156" s="91">
        <f t="array" ref="BD156">IFERROR(INDEX(downloadFile[#All],MATCH(Table_BDD[[#This Row],[Date]],downloadFile[[#All],[Column1]],0),2),BD155)</f>
        <v>1.0815999999999999</v>
      </c>
      <c r="BE156" s="89">
        <f>IF(Table_BDD[[#This Row],[Position]]="","",IF(Table_BDD[[#This Row],[Symbole]]="UsaInd",(Table_BDD[[#This Row],[Volume]]*Table_BDD[[#This Row],[Lvl Entrée]])/(Table_BDD[[#This Row],[Equité avant trade]]*Table_BDD[[#This Row],[EUR/USD]]),IF(Table_BDD[[#This Row],[Symbole]]="Ger30",(Table_BDD[[#This Row],[Volume]]*Table_BDD[[#This Row],[Lvl Entrée]])/Table_BDD[[#This Row],[Equité avant trade]],)))</f>
        <v>15.055602957697602</v>
      </c>
      <c r="BF156" s="38">
        <f>IF(Table_BDD[[#This Row],[Position]]="","",IF(Table_BDD[[#This Row],[Conformité]]="Non conforme",0,(MROUND(3*((Table_BDD[[#This Row],[Conviction]]+Table_BDD[[#This Row],[Timing]]+Table_BDD[[#This Row],[Sortie]])+1)-2,1))))</f>
        <v>0</v>
      </c>
      <c r="BG156" s="38" t="str">
        <f>IF(Table_BDD[[#This Row],[Position]]="","",IF(Table_BDD[[#This Row],[Points]]&lt;-5,"--",IF(AND(Table_BDD[[#This Row],[Points]]&gt;=-5,Table_BDD[[#This Row],[Points]]&lt;-1.5),"-",IF(AND(Table_BDD[[#This Row],[Points]]&gt;=-1.5,Table_BDD[[#This Row],[Points]]&lt;1.5),"0",IF(AND(Table_BDD[[#This Row],[Points]]&gt;=1.5,Table_BDD[[#This Row],[Points]]&lt;=70),"+",IF(Table_BDD[[#This Row],[Points]]&gt;70,"++"))))))</f>
        <v>--</v>
      </c>
      <c r="BH156" s="37" t="str">
        <f>IF(Table_BDD[[#This Row],[Position]]="","",IF(Table_BDD[[#This Row],[Points]]&gt;0,"Gagnant",IF(Table_BDD[[#This Row],[Points]]=0,"Flat","Perdant")))</f>
        <v>Perdant</v>
      </c>
      <c r="BI156" s="40">
        <f>IF(Table_BDD[[#This Row],[Position]]="","",IF(Table_BDD[[#This Row],[Résultat]]="Gagnant",1,0))</f>
        <v>0</v>
      </c>
      <c r="BJ156" s="40">
        <f>IF(Table_BDD[[#This Row],[Position]]="","",IF(Table_BDD[[#This Row],[Résultat]]="Perdant",1,0))</f>
        <v>1</v>
      </c>
      <c r="BK156" s="40"/>
      <c r="BL156" s="145">
        <f>IF(Table_BDD[[#This Row],[T / P]]="","",Table_BDD[[#This Row],[T / P]])</f>
        <v>29058.28</v>
      </c>
      <c r="BM156" s="147"/>
      <c r="BN156" s="147"/>
      <c r="BO156" s="147"/>
      <c r="BP156" s="147"/>
      <c r="BQ156" s="127"/>
    </row>
    <row r="157" spans="1:69" x14ac:dyDescent="0.2">
      <c r="A157" s="93">
        <v>43879.751585648148</v>
      </c>
      <c r="B157" s="94">
        <v>260164524</v>
      </c>
      <c r="C157" s="37" t="s">
        <v>8</v>
      </c>
      <c r="D157" s="37" t="s">
        <v>9</v>
      </c>
      <c r="E157" s="37">
        <v>0.45</v>
      </c>
      <c r="F157" s="95">
        <v>29130.47</v>
      </c>
      <c r="G157" s="95">
        <v>29120.47</v>
      </c>
      <c r="H157" s="95">
        <v>29210.47</v>
      </c>
      <c r="I157" s="93">
        <v>43879.796516203707</v>
      </c>
      <c r="J157" s="95">
        <v>29202.29</v>
      </c>
      <c r="K157" s="95">
        <v>0</v>
      </c>
      <c r="L157" s="95">
        <v>0</v>
      </c>
      <c r="M157" s="32">
        <v>29.92</v>
      </c>
      <c r="N157" s="148">
        <f>IF(Table_BDD[[#This Row],[Position]]="","",ROW()-3)</f>
        <v>154</v>
      </c>
      <c r="O157" s="32">
        <f>SUM($L$4:M157)</f>
        <v>-168.27999999999997</v>
      </c>
      <c r="P157" s="32">
        <f>Table_BDD[[#This Row],[Equité avant trade]]+Table_BDD[[#This Row],[Profit]]+Table_BDD[[#This Row],[Echange]]</f>
        <v>831.72</v>
      </c>
      <c r="Q157" s="52">
        <f>INT(Table_BDD[[#This Row],[Horodatage cloture]])</f>
        <v>43879</v>
      </c>
      <c r="R157" s="34">
        <f>WEEKNUM(Table_BDD[[#This Row],[Horodatage cloture]],2)</f>
        <v>8</v>
      </c>
      <c r="S157" s="61">
        <f>WEEKDAY(Table_BDD[[#This Row],[Horodatage cloture]])</f>
        <v>3</v>
      </c>
      <c r="T157" s="63">
        <f>HOUR(Table_BDD[[#This Row],[Horodatage cloture]])</f>
        <v>19</v>
      </c>
      <c r="U157" s="68">
        <f>IF(Table_BDD[[#This Row],[Position]]="","",IF(Table_BDD[[#This Row],[Valeur début de journée unique]]&lt;&gt;0,1,0))</f>
        <v>0</v>
      </c>
      <c r="V157" s="68" t="str">
        <f>IF(Table_BDD[[#This Row],[Nb de séance de trading]]=1,COUNTIF(Table_BDD[Date],Table_BDD[[#This Row],[Date]]),"")</f>
        <v/>
      </c>
      <c r="W157" s="33">
        <f>IF(Table_BDD[[#This Row],[Position]]="","",IF(Table_BDD[[#This Row],[Type]]="buy",ROUND(Table_BDD[[#This Row],[Lvl Entrée]]-Table_BDD[[#This Row],[S / L]],1),ROUND(Table_BDD[[#This Row],[S / L]]-Table_BDD[[#This Row],[Lvl Entrée]],1)))</f>
        <v>10</v>
      </c>
      <c r="X157" s="33">
        <f>IF(Table_BDD[[#This Row],[Position]]="","",IF(Table_BDD[[#This Row],[T / P]]=0,200,IF(Table_BDD[[#This Row],[Type]]="buy",ROUND(Table_BDD[[#This Row],[T / P]]-Table_BDD[[#This Row],[Lvl Entrée]],1),ROUND(Table_BDD[[#This Row],[Lvl Entrée]]-Table_BDD[[#This Row],[T / P]],1))))</f>
        <v>80</v>
      </c>
      <c r="Y157" s="34">
        <f>IF(Table_BDD[[#This Row],[Position]]="","",IF(Table_BDD[[#This Row],[Ecart du SL]]&gt;0,ROUND(ABS(Table_BDD[[#This Row],[Ecart du TP]])/ABS(Table_BDD[[#This Row],[Ecart du SL]]),1),ROUND(ABS(Table_BDD[[#This Row],[Ecart du TP]])/10,1)))</f>
        <v>8</v>
      </c>
      <c r="Z157" s="34">
        <f>IF(Table_BDD[[#This Row],[Position]]="","",IF(Table_BDD[[#This Row],[Ecart du SL]]&lt;0,IF(AND(Table_BDD[[#This Row],[Profit]]&gt;0,Table_BDD[[#This Row],[Type]]="sell"),ROUND((Table_BDD[[#This Row],[Lvl Entrée]]-Table_BDD[[#This Row],[Lvl Sortie]])/(10),1),IF(AND(Table_BDD[[#This Row],[Profit]]&gt;0,Table_BDD[[#This Row],[Type]]="buy"),ROUND((Table_BDD[[#This Row],[Lvl Sortie]]-Table_BDD[[#This Row],[Lvl Entrée]])/(10),1),)),IF(AND(Table_BDD[[#This Row],[Profit]]&gt;0,Table_BDD[[#This Row],[Type]]="sell"),ROUND((Table_BDD[[#This Row],[Lvl Entrée]]-Table_BDD[[#This Row],[Lvl Sortie]])/(Table_BDD[[#This Row],[S / L]]-Table_BDD[[#This Row],[Lvl Entrée]]),1),IF(AND(Table_BDD[[#This Row],[Profit]]&gt;0,Table_BDD[[#This Row],[Type]]="buy"),ROUND((Table_BDD[[#This Row],[Lvl Sortie]]-Table_BDD[[#This Row],[Lvl Entrée]])/(Table_BDD[[#This Row],[Lvl Entrée]]-Table_BDD[[#This Row],[S / L]]),1),ROUND(Table_BDD[[#This Row],[Points]]/10,1)))))</f>
        <v>7.2</v>
      </c>
      <c r="AA157" s="32">
        <f>IF(Table_BDD[[#This Row],[Position]]="",AA156,Table_BDD[[#This Row],[Equité après trade]]-Table_BDD[[#This Row],[Profit]]-Table_BDD[[#This Row],[Echange]])</f>
        <v>801.80000000000007</v>
      </c>
      <c r="AB157" s="149">
        <f>$B$1+SUM($L$4:M157)</f>
        <v>831.72</v>
      </c>
      <c r="AC157" s="150">
        <f>IF(Table_BDD[[#This Row],[Position]]="","",_xlfn.MINIFS(Table_BDD[Horodatage ouverture],Table_BDD[Date],Table_BDD[Date]))</f>
        <v>43879.671631944446</v>
      </c>
      <c r="AD157" s="149">
        <f>VLOOKUP(_xlfn.MINIFS(Table_BDD[Horodatage ouverture],Table_BDD[Date],Table_BDD[Date]),Table_BDD[[Horodatage ouverture]:[Heure derniere valeur]],AA$2)</f>
        <v>817.34</v>
      </c>
      <c r="AE157" s="149">
        <f>IF(VLOOKUP(_xlfn.MINIFS(Table_BDD[Horodatage ouverture],Table_BDD[Date],Table_BDD[Date]),Table_BDD[[Horodatage ouverture]:[Heure derniere valeur]],AA$2)=Table_BDD[[#This Row],[Equité avant trade]],VLOOKUP(_xlfn.MINIFS(Table_BDD[Horodatage ouverture],Table_BDD[Date],Table_BDD[Date]),Table_BDD[[Horodatage ouverture]:[Heure derniere valeur]],AA$2),0)</f>
        <v>0</v>
      </c>
      <c r="AF157" s="150">
        <f>IF(Table_BDD[[#This Row],[Position]]="","",_xlfn.MAXIFS(Table_BDD[Horodatage ouverture],Table_BDD[Date],Table_BDD[Date]))</f>
        <v>43879.751585648148</v>
      </c>
      <c r="AG157" s="32">
        <f>VLOOKUP(_xlfn.MAXIFS(Table_BDD[Horodatage cloture],Table_BDD[Date],Table_BDD[Date]),Table_BDD[[Horodatage ouverture]:[Heure derniere valeur]],AB$2)</f>
        <v>831.72</v>
      </c>
      <c r="AH157" s="32">
        <f>IF(VLOOKUP(_xlfn.MAXIFS(Table_BDD[Horodatage cloture],Table_BDD[Date],Table_BDD[Date]),Table_BDD[[Horodatage ouverture]:[Heure derniere valeur]],AB$2)=Table_BDD[[#This Row],[Equité après trade]],VLOOKUP(_xlfn.MAXIFS(Table_BDD[Horodatage cloture],Table_BDD[Date],Table_BDD[Date]),Table_BDD[[Horodatage ouverture]:[Heure derniere valeur]],AB$2),0)</f>
        <v>831.72</v>
      </c>
      <c r="AI157" s="32">
        <f>IF(Table_BDD[[#This Row],[Valeur fin de journée unique]]=0,#N/A,Table_BDD[[#This Row],[Valeur fin de journée unique]])</f>
        <v>831.72</v>
      </c>
      <c r="AJ157" s="35">
        <f>IF(Table_BDD[[#This Row],[Position]]="","",(Table_BDD[[#This Row],[Equité après trade]]-Table_BDD[[#This Row],[Equité avant trade]])/Table_BDD[[#This Row],[Equité avant trade]])</f>
        <v>3.731603891244694E-2</v>
      </c>
      <c r="AK157" s="35" t="str">
        <f>IFERROR(((INDEX(Table_BDD[[Trade n°]:[Valeur fin de journée unique]],Table_BDD[[#This Row],[Nb de trade du jour]]+Table_BDD[[#This Row],[Trade n°]]-1,21))-Table_BDD[[#This Row],[Valeur début de journée unique]])/Table_BDD[[#This Row],[Valeur début de journée unique]],"")</f>
        <v/>
      </c>
      <c r="AL157" s="32">
        <f>IF(Table_BDD[[#This Row],[Position]]="","",MAX(Table_BDD[[#This Row],[Cumul équité]],AL156))</f>
        <v>1052.8399999999999</v>
      </c>
      <c r="AM157" s="32">
        <f>IF(Table_BDD[[#This Row],[Position]]="","",MIN(Table_BDD[[#This Row],[Cumul équité]],AL156))</f>
        <v>831.72</v>
      </c>
      <c r="AN157" s="97">
        <f>IF(Table_BDD[[#This Row],[Sommet Drawdown]]&gt;AL156,"",Table_BDD[[#This Row],[Creux Drawdown]]/Table_BDD[[#This Row],[Sommet Drawdown]]-1)</f>
        <v>-0.21002241556171874</v>
      </c>
      <c r="AO157" s="36">
        <f>IF(Table_BDD[[#This Row],[Position]]="","",IF(Table_BDD[[#This Row],[Type]]="buy",ROUND(Table_BDD[[#This Row],[Lvl Sortie]]-Table_BDD[[#This Row],[Lvl Entrée]],1),ROUND(Table_BDD[[#This Row],[Lvl Entrée]]-Table_BDD[[#This Row],[Lvl Sortie]],1)))</f>
        <v>71.8</v>
      </c>
      <c r="AP157" s="36">
        <f>IF(Table_BDD[[#This Row],[Points]]&gt;0,Table_BDD[[#This Row],[Points]],"")</f>
        <v>71.8</v>
      </c>
      <c r="AQ157" s="36" t="str">
        <f>IF(Table_BDD[[#This Row],[Points]]&lt;0,Table_BDD[[#This Row],[Points]],"")</f>
        <v/>
      </c>
      <c r="AR157" s="36">
        <f>SUM($AO$4:AO157)</f>
        <v>-352.10000000000019</v>
      </c>
      <c r="AS157" s="68">
        <f>IF(Table_BDD[[#This Row],[Position]]="","",IF(Table_BDD[[#This Row],[Conformité]]="Conforme",1,0))</f>
        <v>1</v>
      </c>
      <c r="AT157" s="68">
        <f>IF(Table_BDD[[#This Row],[Position]]="","",IF(Table_BDD[[#This Row],[Conformité]]="Non conforme",1,0))</f>
        <v>0</v>
      </c>
      <c r="AU157" s="37" t="s">
        <v>16</v>
      </c>
      <c r="AV157" s="37" t="s">
        <v>20</v>
      </c>
      <c r="AW157" s="37"/>
      <c r="AX157" s="37">
        <v>1</v>
      </c>
      <c r="AY157" s="37">
        <v>1</v>
      </c>
      <c r="AZ157" s="37">
        <v>1</v>
      </c>
      <c r="BA157" s="40" t="str">
        <f>IF(Table_BDD[[#This Row],[Position]]="","Sans objet",IF(AND(Table_BDD[[#This Row],[Type]]="sell",Table_BDD[[#This Row],[S / L]]&lt;Table_BDD[[#This Row],[Lvl Entrée]],Table_BDD[[#This Row],[Lvl Sortie]]&lt;=Table_BDD[[#This Row],[S / L]]+2,Table_BDD[[#This Row],[Lvl Sortie]]&lt;Table_BDD[[#This Row],[Lvl Entrée]]-19),"Oui",IF(AND(Table_BDD[[#This Row],[Type]]="buy",Table_BDD[[#This Row],[S / L]]&gt;Table_BDD[[#This Row],[Lvl Entrée]],Table_BDD[[#This Row],[Lvl Sortie]]&gt;=Table_BDD[[#This Row],[S / L]]-2,Table_BDD[[#This Row],[S / L]]&gt;Table_BDD[[#This Row],[Lvl Entrée]]+19),"Oui","Non")))</f>
        <v>Non</v>
      </c>
      <c r="BB157" s="40" t="str">
        <f>IF(Table_BDD[[#This Row],[Position]]="","Sans objet",IF(AND(Table_BDD[[#This Row],[Type]]="sell",Table_BDD[[#This Row],[S / L]]&lt;Table_BDD[[#This Row],[Lvl Entrée]],Table_BDD[[#This Row],[Points]]&gt;=-1),"Oui",IF(AND(Table_BDD[[#This Row],[Type]]="sell",Table_BDD[[#This Row],[S / L]]&gt;Table_BDD[[#This Row],[Lvl Entrée]]),"Non",IF(AND(Table_BDD[[#This Row],[Type]]="buy",Table_BDD[[#This Row],[S / L]]&lt;Table_BDD[[#This Row],[Lvl Entrée]]),"Non",IF(AND(Table_BDD[[#This Row],[Type]]="buy",Table_BDD[[#This Row],[S / L]]&gt;Table_BDD[[#This Row],[Lvl Entrée]],Table_BDD[[#This Row],[Points]]&gt;=-1),"Oui")))))</f>
        <v>Non</v>
      </c>
      <c r="BC157" s="40" t="str">
        <f>IF(Table_BDD[[#This Row],[Position]]="","Sans objet",IF(Table_BDD[[#This Row],[T / P]]="","Non",IF(AND(Table_BDD[[#This Row],[Type]]="sell",Table_BDD[[#This Row],[Lvl Sortie]]&lt;=Table_BDD[[#This Row],[T / P]]),"Oui",IF(AND(Table_BDD[[#This Row],[Type]]="buy",Table_BDD[[#This Row],[Lvl Sortie]]&gt;=Table_BDD[[#This Row],[T / P]]),"Oui","Non"))))</f>
        <v>Non</v>
      </c>
      <c r="BD157" s="91">
        <f t="array" ref="BD157">IFERROR(INDEX(downloadFile[#All],MATCH(Table_BDD[[#This Row],[Date]],downloadFile[[#All],[Column1]],0),2),BD156)</f>
        <v>1.0815999999999999</v>
      </c>
      <c r="BE157" s="89">
        <f>IF(Table_BDD[[#This Row],[Position]]="","",IF(Table_BDD[[#This Row],[Symbole]]="UsaInd",(Table_BDD[[#This Row],[Volume]]*Table_BDD[[#This Row],[Lvl Entrée]])/(Table_BDD[[#This Row],[Equité avant trade]]*Table_BDD[[#This Row],[EUR/USD]]),IF(Table_BDD[[#This Row],[Symbole]]="Ger30",(Table_BDD[[#This Row],[Volume]]*Table_BDD[[#This Row],[Lvl Entrée]])/Table_BDD[[#This Row],[Equité avant trade]],)))</f>
        <v>15.115665579922986</v>
      </c>
      <c r="BF157" s="38">
        <f>IF(Table_BDD[[#This Row],[Position]]="","",IF(Table_BDD[[#This Row],[Conformité]]="Non conforme",0,(MROUND(3*((Table_BDD[[#This Row],[Conviction]]+Table_BDD[[#This Row],[Timing]]+Table_BDD[[#This Row],[Sortie]])+1)-2,1))))</f>
        <v>10</v>
      </c>
      <c r="BG157" s="38" t="str">
        <f>IF(Table_BDD[[#This Row],[Position]]="","",IF(Table_BDD[[#This Row],[Points]]&lt;-5,"--",IF(AND(Table_BDD[[#This Row],[Points]]&gt;=-5,Table_BDD[[#This Row],[Points]]&lt;-1.5),"-",IF(AND(Table_BDD[[#This Row],[Points]]&gt;=-1.5,Table_BDD[[#This Row],[Points]]&lt;1.5),"0",IF(AND(Table_BDD[[#This Row],[Points]]&gt;=1.5,Table_BDD[[#This Row],[Points]]&lt;=70),"+",IF(Table_BDD[[#This Row],[Points]]&gt;70,"++"))))))</f>
        <v>++</v>
      </c>
      <c r="BH157" s="37" t="str">
        <f>IF(Table_BDD[[#This Row],[Position]]="","",IF(Table_BDD[[#This Row],[Points]]&gt;0,"Gagnant",IF(Table_BDD[[#This Row],[Points]]=0,"Flat","Perdant")))</f>
        <v>Gagnant</v>
      </c>
      <c r="BI157" s="40">
        <f>IF(Table_BDD[[#This Row],[Position]]="","",IF(Table_BDD[[#This Row],[Résultat]]="Gagnant",1,0))</f>
        <v>1</v>
      </c>
      <c r="BJ157" s="40">
        <f>IF(Table_BDD[[#This Row],[Position]]="","",IF(Table_BDD[[#This Row],[Résultat]]="Perdant",1,0))</f>
        <v>0</v>
      </c>
      <c r="BK157" s="40"/>
      <c r="BL157" s="145">
        <f>IF(Table_BDD[[#This Row],[T / P]]="","",Table_BDD[[#This Row],[T / P]])</f>
        <v>29210.47</v>
      </c>
      <c r="BM157" s="147"/>
      <c r="BN157" s="147"/>
      <c r="BO157" s="147"/>
      <c r="BP157" s="147"/>
      <c r="BQ157" s="127"/>
    </row>
    <row r="158" spans="1:69" x14ac:dyDescent="0.2">
      <c r="A158" s="93">
        <v>43880</v>
      </c>
      <c r="B158" s="94"/>
      <c r="C158" s="37"/>
      <c r="D158" s="37"/>
      <c r="E158" s="37"/>
      <c r="F158" s="95"/>
      <c r="G158" s="95"/>
      <c r="H158" s="95"/>
      <c r="I158" s="93">
        <v>43880.999988425923</v>
      </c>
      <c r="J158" s="95"/>
      <c r="K158" s="95"/>
      <c r="L158" s="95"/>
      <c r="M158" s="32"/>
      <c r="N158" s="148" t="str">
        <f>IF(Table_BDD[[#This Row],[Position]]="","",ROW()-3)</f>
        <v/>
      </c>
      <c r="O158" s="32">
        <f>SUM($L$4:M158)</f>
        <v>-168.27999999999997</v>
      </c>
      <c r="P158" s="32">
        <f>Table_BDD[[#This Row],[Equité avant trade]]+Table_BDD[[#This Row],[Profit]]+Table_BDD[[#This Row],[Echange]]</f>
        <v>801.80000000000007</v>
      </c>
      <c r="Q158" s="52">
        <f>INT(Table_BDD[[#This Row],[Horodatage cloture]])</f>
        <v>43880</v>
      </c>
      <c r="R158" s="34">
        <f>WEEKNUM(Table_BDD[[#This Row],[Horodatage cloture]],2)</f>
        <v>8</v>
      </c>
      <c r="S158" s="61">
        <f>WEEKDAY(Table_BDD[[#This Row],[Horodatage cloture]])</f>
        <v>4</v>
      </c>
      <c r="T158" s="63">
        <f>HOUR(Table_BDD[[#This Row],[Horodatage cloture]])</f>
        <v>23</v>
      </c>
      <c r="U158" s="68" t="str">
        <f>IF(Table_BDD[[#This Row],[Position]]="","",IF(Table_BDD[[#This Row],[Valeur début de journée unique]]&lt;&gt;0,1,0))</f>
        <v/>
      </c>
      <c r="V158" s="68" t="str">
        <f>IF(Table_BDD[[#This Row],[Nb de séance de trading]]=1,COUNTIF(Table_BDD[Date],Table_BDD[[#This Row],[Date]]),"")</f>
        <v/>
      </c>
      <c r="W158" s="33" t="str">
        <f>IF(Table_BDD[[#This Row],[Position]]="","",IF(Table_BDD[[#This Row],[Type]]="buy",ROUND(Table_BDD[[#This Row],[Lvl Entrée]]-Table_BDD[[#This Row],[S / L]],1),ROUND(Table_BDD[[#This Row],[S / L]]-Table_BDD[[#This Row],[Lvl Entrée]],1)))</f>
        <v/>
      </c>
      <c r="X158" s="33" t="str">
        <f>IF(Table_BDD[[#This Row],[Position]]="","",IF(Table_BDD[[#This Row],[T / P]]=0,200,IF(Table_BDD[[#This Row],[Type]]="buy",ROUND(Table_BDD[[#This Row],[T / P]]-Table_BDD[[#This Row],[Lvl Entrée]],1),ROUND(Table_BDD[[#This Row],[Lvl Entrée]]-Table_BDD[[#This Row],[T / P]],1))))</f>
        <v/>
      </c>
      <c r="Y158" s="34" t="str">
        <f>IF(Table_BDD[[#This Row],[Position]]="","",IF(Table_BDD[[#This Row],[Ecart du SL]]&gt;0,ROUND(ABS(Table_BDD[[#This Row],[Ecart du TP]])/ABS(Table_BDD[[#This Row],[Ecart du SL]]),1),ROUND(ABS(Table_BDD[[#This Row],[Ecart du TP]])/10,1)))</f>
        <v/>
      </c>
      <c r="Z158" s="34" t="str">
        <f>IF(Table_BDD[[#This Row],[Position]]="","",IF(Table_BDD[[#This Row],[Ecart du SL]]&lt;0,IF(AND(Table_BDD[[#This Row],[Profit]]&gt;0,Table_BDD[[#This Row],[Type]]="sell"),ROUND((Table_BDD[[#This Row],[Lvl Entrée]]-Table_BDD[[#This Row],[Lvl Sortie]])/(10),1),IF(AND(Table_BDD[[#This Row],[Profit]]&gt;0,Table_BDD[[#This Row],[Type]]="buy"),ROUND((Table_BDD[[#This Row],[Lvl Sortie]]-Table_BDD[[#This Row],[Lvl Entrée]])/(10),1),)),IF(AND(Table_BDD[[#This Row],[Profit]]&gt;0,Table_BDD[[#This Row],[Type]]="sell"),ROUND((Table_BDD[[#This Row],[Lvl Entrée]]-Table_BDD[[#This Row],[Lvl Sortie]])/(Table_BDD[[#This Row],[S / L]]-Table_BDD[[#This Row],[Lvl Entrée]]),1),IF(AND(Table_BDD[[#This Row],[Profit]]&gt;0,Table_BDD[[#This Row],[Type]]="buy"),ROUND((Table_BDD[[#This Row],[Lvl Sortie]]-Table_BDD[[#This Row],[Lvl Entrée]])/(Table_BDD[[#This Row],[Lvl Entrée]]-Table_BDD[[#This Row],[S / L]]),1),ROUND(Table_BDD[[#This Row],[Points]]/10,1)))))</f>
        <v/>
      </c>
      <c r="AA158" s="32">
        <f>IF(Table_BDD[[#This Row],[Position]]="",AA157,Table_BDD[[#This Row],[Equité après trade]]-Table_BDD[[#This Row],[Profit]]-Table_BDD[[#This Row],[Echange]])</f>
        <v>801.80000000000007</v>
      </c>
      <c r="AB158" s="149">
        <f>$B$1+SUM($L$4:M158)</f>
        <v>831.72</v>
      </c>
      <c r="AC158" s="150" t="str">
        <f>IF(Table_BDD[[#This Row],[Position]]="","",_xlfn.MINIFS(Table_BDD[Horodatage ouverture],Table_BDD[Date],Table_BDD[Date]))</f>
        <v/>
      </c>
      <c r="AD158" s="149">
        <f>VLOOKUP(_xlfn.MINIFS(Table_BDD[Horodatage ouverture],Table_BDD[Date],Table_BDD[Date]),Table_BDD[[Horodatage ouverture]:[Heure derniere valeur]],AA$2)</f>
        <v>801.80000000000007</v>
      </c>
      <c r="AE158" s="149">
        <f>IF(VLOOKUP(_xlfn.MINIFS(Table_BDD[Horodatage ouverture],Table_BDD[Date],Table_BDD[Date]),Table_BDD[[Horodatage ouverture]:[Heure derniere valeur]],AA$2)=Table_BDD[[#This Row],[Equité avant trade]],VLOOKUP(_xlfn.MINIFS(Table_BDD[Horodatage ouverture],Table_BDD[Date],Table_BDD[Date]),Table_BDD[[Horodatage ouverture]:[Heure derniere valeur]],AA$2),0)</f>
        <v>801.80000000000007</v>
      </c>
      <c r="AF158" s="150" t="str">
        <f>IF(Table_BDD[[#This Row],[Position]]="","",_xlfn.MAXIFS(Table_BDD[Horodatage ouverture],Table_BDD[Date],Table_BDD[Date]))</f>
        <v/>
      </c>
      <c r="AG158" s="32">
        <f>VLOOKUP(_xlfn.MAXIFS(Table_BDD[Horodatage cloture],Table_BDD[Date],Table_BDD[Date]),Table_BDD[[Horodatage ouverture]:[Heure derniere valeur]],AB$2)</f>
        <v>831.72</v>
      </c>
      <c r="AH158" s="32">
        <f>IF(VLOOKUP(_xlfn.MAXIFS(Table_BDD[Horodatage cloture],Table_BDD[Date],Table_BDD[Date]),Table_BDD[[Horodatage ouverture]:[Heure derniere valeur]],AB$2)=Table_BDD[[#This Row],[Equité après trade]],VLOOKUP(_xlfn.MAXIFS(Table_BDD[Horodatage cloture],Table_BDD[Date],Table_BDD[Date]),Table_BDD[[Horodatage ouverture]:[Heure derniere valeur]],AB$2),0)</f>
        <v>831.72</v>
      </c>
      <c r="AI158" s="32">
        <f>IF(Table_BDD[[#This Row],[Valeur fin de journée unique]]=0,#N/A,Table_BDD[[#This Row],[Valeur fin de journée unique]])</f>
        <v>831.72</v>
      </c>
      <c r="AJ158" s="35" t="str">
        <f>IF(Table_BDD[[#This Row],[Position]]="","",(Table_BDD[[#This Row],[Equité après trade]]-Table_BDD[[#This Row],[Equité avant trade]])/Table_BDD[[#This Row],[Equité avant trade]])</f>
        <v/>
      </c>
      <c r="AK158" s="35" t="str">
        <f>IFERROR(((INDEX(Table_BDD[[Trade n°]:[Valeur fin de journée unique]],Table_BDD[[#This Row],[Nb de trade du jour]]+Table_BDD[[#This Row],[Trade n°]]-1,21))-Table_BDD[[#This Row],[Valeur début de journée unique]])/Table_BDD[[#This Row],[Valeur début de journée unique]],"")</f>
        <v/>
      </c>
      <c r="AL158" s="32" t="str">
        <f>IF(Table_BDD[[#This Row],[Position]]="","",MAX(Table_BDD[[#This Row],[Cumul équité]],AL157))</f>
        <v/>
      </c>
      <c r="AM158" s="32" t="str">
        <f>IF(Table_BDD[[#This Row],[Position]]="","",MIN(Table_BDD[[#This Row],[Cumul équité]],AL157))</f>
        <v/>
      </c>
      <c r="AN158" s="97" t="str">
        <f>IF(Table_BDD[[#This Row],[Sommet Drawdown]]&gt;AL157,"",Table_BDD[[#This Row],[Creux Drawdown]]/Table_BDD[[#This Row],[Sommet Drawdown]]-1)</f>
        <v/>
      </c>
      <c r="AO158" s="36" t="str">
        <f>IF(Table_BDD[[#This Row],[Position]]="","",IF(Table_BDD[[#This Row],[Type]]="buy",ROUND(Table_BDD[[#This Row],[Lvl Sortie]]-Table_BDD[[#This Row],[Lvl Entrée]],1),ROUND(Table_BDD[[#This Row],[Lvl Entrée]]-Table_BDD[[#This Row],[Lvl Sortie]],1)))</f>
        <v/>
      </c>
      <c r="AP158" s="36" t="str">
        <f>IF(Table_BDD[[#This Row],[Points]]&gt;0,Table_BDD[[#This Row],[Points]],"")</f>
        <v/>
      </c>
      <c r="AQ158" s="36" t="str">
        <f>IF(Table_BDD[[#This Row],[Points]]&lt;0,Table_BDD[[#This Row],[Points]],"")</f>
        <v/>
      </c>
      <c r="AR158" s="36">
        <f>SUM($AO$4:AO158)</f>
        <v>-352.10000000000019</v>
      </c>
      <c r="AS158" s="68" t="str">
        <f>IF(Table_BDD[[#This Row],[Position]]="","",IF(Table_BDD[[#This Row],[Conformité]]="Conforme",1,0))</f>
        <v/>
      </c>
      <c r="AT158" s="68" t="str">
        <f>IF(Table_BDD[[#This Row],[Position]]="","",IF(Table_BDD[[#This Row],[Conformité]]="Non conforme",1,0))</f>
        <v/>
      </c>
      <c r="AU158" s="37"/>
      <c r="AV158" s="37"/>
      <c r="AW158" s="37"/>
      <c r="AX158" s="37"/>
      <c r="AY158" s="37"/>
      <c r="AZ158" s="37"/>
      <c r="BA158" s="40" t="s">
        <v>237</v>
      </c>
      <c r="BB158" s="40" t="s">
        <v>237</v>
      </c>
      <c r="BC158" s="40" t="s">
        <v>237</v>
      </c>
      <c r="BD158" s="91">
        <v>1.08</v>
      </c>
      <c r="BE158" s="89" t="s">
        <v>257</v>
      </c>
      <c r="BF158" s="38" t="str">
        <f>IF(Table_BDD[[#This Row],[Position]]="","",IF(Table_BDD[[#This Row],[Conformité]]="Non conforme",0,(MROUND(3*((Table_BDD[[#This Row],[Conviction]]+Table_BDD[[#This Row],[Timing]]+Table_BDD[[#This Row],[Sortie]])+1)-2,1))))</f>
        <v/>
      </c>
      <c r="BG158" s="38" t="str">
        <f>IF(Table_BDD[[#This Row],[Position]]="","",IF(Table_BDD[[#This Row],[Points]]&lt;-5,"--",IF(AND(Table_BDD[[#This Row],[Points]]&gt;=-5,Table_BDD[[#This Row],[Points]]&lt;-1.5),"-",IF(AND(Table_BDD[[#This Row],[Points]]&gt;=-1.5,Table_BDD[[#This Row],[Points]]&lt;1.5),"0",IF(AND(Table_BDD[[#This Row],[Points]]&gt;=1.5,Table_BDD[[#This Row],[Points]]&lt;=70),"+",IF(Table_BDD[[#This Row],[Points]]&gt;70,"++"))))))</f>
        <v/>
      </c>
      <c r="BH158" s="37" t="str">
        <f>IF(Table_BDD[[#This Row],[Position]]="","",IF(Table_BDD[[#This Row],[Points]]&gt;0,"Gagnant",IF(Table_BDD[[#This Row],[Points]]=0,"Flat","Perdant")))</f>
        <v/>
      </c>
      <c r="BI158" s="40" t="s">
        <v>257</v>
      </c>
      <c r="BJ158" s="40" t="s">
        <v>257</v>
      </c>
      <c r="BK158" s="40"/>
      <c r="BL158" s="145" t="s">
        <v>257</v>
      </c>
      <c r="BM158" s="147"/>
      <c r="BN158" s="147"/>
      <c r="BO158" s="147"/>
      <c r="BP158" s="147"/>
      <c r="BQ158" s="127"/>
    </row>
    <row r="159" spans="1:69" x14ac:dyDescent="0.2">
      <c r="A159" s="93">
        <v>43881.628252314818</v>
      </c>
      <c r="B159" s="94">
        <v>260322204</v>
      </c>
      <c r="C159" s="37" t="s">
        <v>8</v>
      </c>
      <c r="D159" s="37" t="s">
        <v>9</v>
      </c>
      <c r="E159" s="37">
        <v>0.45</v>
      </c>
      <c r="F159" s="95">
        <v>29274.45</v>
      </c>
      <c r="G159" s="95">
        <v>29275.95</v>
      </c>
      <c r="H159" s="95">
        <v>29329.45</v>
      </c>
      <c r="I159" s="93">
        <v>43881.650787037041</v>
      </c>
      <c r="J159" s="95">
        <v>29275.39</v>
      </c>
      <c r="K159" s="95">
        <v>0</v>
      </c>
      <c r="L159" s="95">
        <v>0</v>
      </c>
      <c r="M159" s="32">
        <v>0.39</v>
      </c>
      <c r="N159" s="148">
        <f>IF(Table_BDD[[#This Row],[Position]]="","",ROW()-3)</f>
        <v>156</v>
      </c>
      <c r="O159" s="32">
        <f>SUM($L$4:M159)</f>
        <v>-167.89</v>
      </c>
      <c r="P159" s="32">
        <f>Table_BDD[[#This Row],[Equité avant trade]]+Table_BDD[[#This Row],[Profit]]+Table_BDD[[#This Row],[Echange]]</f>
        <v>832.11</v>
      </c>
      <c r="Q159" s="52">
        <f>INT(Table_BDD[[#This Row],[Horodatage cloture]])</f>
        <v>43881</v>
      </c>
      <c r="R159" s="34">
        <f>WEEKNUM(Table_BDD[[#This Row],[Horodatage cloture]],2)</f>
        <v>8</v>
      </c>
      <c r="S159" s="61">
        <f>WEEKDAY(Table_BDD[[#This Row],[Horodatage cloture]])</f>
        <v>5</v>
      </c>
      <c r="T159" s="63">
        <f>HOUR(Table_BDD[[#This Row],[Horodatage cloture]])</f>
        <v>15</v>
      </c>
      <c r="U159" s="68">
        <f>IF(Table_BDD[[#This Row],[Position]]="","",IF(Table_BDD[[#This Row],[Valeur début de journée unique]]&lt;&gt;0,1,0))</f>
        <v>1</v>
      </c>
      <c r="V159" s="68">
        <f>IF(Table_BDD[[#This Row],[Nb de séance de trading]]=1,COUNTIF(Table_BDD[Date],Table_BDD[[#This Row],[Date]]),"")</f>
        <v>2</v>
      </c>
      <c r="W159" s="33">
        <f>IF(Table_BDD[[#This Row],[Position]]="","",IF(Table_BDD[[#This Row],[Type]]="buy",ROUND(Table_BDD[[#This Row],[Lvl Entrée]]-Table_BDD[[#This Row],[S / L]],1),ROUND(Table_BDD[[#This Row],[S / L]]-Table_BDD[[#This Row],[Lvl Entrée]],1)))</f>
        <v>-1.5</v>
      </c>
      <c r="X159" s="33">
        <f>IF(Table_BDD[[#This Row],[Position]]="","",IF(Table_BDD[[#This Row],[T / P]]=0,200,IF(Table_BDD[[#This Row],[Type]]="buy",ROUND(Table_BDD[[#This Row],[T / P]]-Table_BDD[[#This Row],[Lvl Entrée]],1),ROUND(Table_BDD[[#This Row],[Lvl Entrée]]-Table_BDD[[#This Row],[T / P]],1))))</f>
        <v>55</v>
      </c>
      <c r="Y159" s="34">
        <f>IF(Table_BDD[[#This Row],[Position]]="","",IF(Table_BDD[[#This Row],[Ecart du SL]]&gt;0,ROUND(ABS(Table_BDD[[#This Row],[Ecart du TP]])/ABS(Table_BDD[[#This Row],[Ecart du SL]]),1),ROUND(ABS(Table_BDD[[#This Row],[Ecart du TP]])/10,1)))</f>
        <v>5.5</v>
      </c>
      <c r="Z159" s="34">
        <f>IF(Table_BDD[[#This Row],[Position]]="","",IF(Table_BDD[[#This Row],[Ecart du SL]]&lt;0,IF(AND(Table_BDD[[#This Row],[Profit]]&gt;0,Table_BDD[[#This Row],[Type]]="sell"),ROUND((Table_BDD[[#This Row],[Lvl Entrée]]-Table_BDD[[#This Row],[Lvl Sortie]])/(10),1),IF(AND(Table_BDD[[#This Row],[Profit]]&gt;0,Table_BDD[[#This Row],[Type]]="buy"),ROUND((Table_BDD[[#This Row],[Lvl Sortie]]-Table_BDD[[#This Row],[Lvl Entrée]])/(10),1),)),IF(AND(Table_BDD[[#This Row],[Profit]]&gt;0,Table_BDD[[#This Row],[Type]]="sell"),ROUND((Table_BDD[[#This Row],[Lvl Entrée]]-Table_BDD[[#This Row],[Lvl Sortie]])/(Table_BDD[[#This Row],[S / L]]-Table_BDD[[#This Row],[Lvl Entrée]]),1),IF(AND(Table_BDD[[#This Row],[Profit]]&gt;0,Table_BDD[[#This Row],[Type]]="buy"),ROUND((Table_BDD[[#This Row],[Lvl Sortie]]-Table_BDD[[#This Row],[Lvl Entrée]])/(Table_BDD[[#This Row],[Lvl Entrée]]-Table_BDD[[#This Row],[S / L]]),1),ROUND(Table_BDD[[#This Row],[Points]]/10,1)))))</f>
        <v>0.1</v>
      </c>
      <c r="AA159" s="32">
        <f>IF(Table_BDD[[#This Row],[Position]]="",AA158,Table_BDD[[#This Row],[Equité après trade]]-Table_BDD[[#This Row],[Profit]]-Table_BDD[[#This Row],[Echange]])</f>
        <v>831.72</v>
      </c>
      <c r="AB159" s="149">
        <f>$B$1+SUM($L$4:M159)</f>
        <v>832.11</v>
      </c>
      <c r="AC159" s="150">
        <f>IF(Table_BDD[[#This Row],[Position]]="","",_xlfn.MINIFS(Table_BDD[Horodatage ouverture],Table_BDD[Date],Table_BDD[Date]))</f>
        <v>43881.628252314818</v>
      </c>
      <c r="AD159" s="149">
        <f>VLOOKUP(_xlfn.MINIFS(Table_BDD[Horodatage ouverture],Table_BDD[Date],Table_BDD[Date]),Table_BDD[[Horodatage ouverture]:[Heure derniere valeur]],AA$2)</f>
        <v>831.72</v>
      </c>
      <c r="AE159" s="149">
        <f>IF(VLOOKUP(_xlfn.MINIFS(Table_BDD[Horodatage ouverture],Table_BDD[Date],Table_BDD[Date]),Table_BDD[[Horodatage ouverture]:[Heure derniere valeur]],AA$2)=Table_BDD[[#This Row],[Equité avant trade]],VLOOKUP(_xlfn.MINIFS(Table_BDD[Horodatage ouverture],Table_BDD[Date],Table_BDD[Date]),Table_BDD[[Horodatage ouverture]:[Heure derniere valeur]],AA$2),0)</f>
        <v>831.72</v>
      </c>
      <c r="AF159" s="150">
        <f>IF(Table_BDD[[#This Row],[Position]]="","",_xlfn.MAXIFS(Table_BDD[Horodatage ouverture],Table_BDD[Date],Table_BDD[Date]))</f>
        <v>43881.757106481484</v>
      </c>
      <c r="AG159" s="32">
        <f>VLOOKUP(_xlfn.MAXIFS(Table_BDD[Horodatage cloture],Table_BDD[Date],Table_BDD[Date]),Table_BDD[[Horodatage ouverture]:[Heure derniere valeur]],AB$2)</f>
        <v>855.32</v>
      </c>
      <c r="AH159" s="32">
        <f>IF(VLOOKUP(_xlfn.MAXIFS(Table_BDD[Horodatage cloture],Table_BDD[Date],Table_BDD[Date]),Table_BDD[[Horodatage ouverture]:[Heure derniere valeur]],AB$2)=Table_BDD[[#This Row],[Equité après trade]],VLOOKUP(_xlfn.MAXIFS(Table_BDD[Horodatage cloture],Table_BDD[Date],Table_BDD[Date]),Table_BDD[[Horodatage ouverture]:[Heure derniere valeur]],AB$2),0)</f>
        <v>0</v>
      </c>
      <c r="AI159" s="32" t="e">
        <f>IF(Table_BDD[[#This Row],[Valeur fin de journée unique]]=0,#N/A,Table_BDD[[#This Row],[Valeur fin de journée unique]])</f>
        <v>#N/A</v>
      </c>
      <c r="AJ159" s="35">
        <f>IF(Table_BDD[[#This Row],[Position]]="","",(Table_BDD[[#This Row],[Equité après trade]]-Table_BDD[[#This Row],[Equité avant trade]])/Table_BDD[[#This Row],[Equité avant trade]])</f>
        <v>4.6890780551145378E-4</v>
      </c>
      <c r="AK159" s="35">
        <f>IFERROR(((INDEX(Table_BDD[[Trade n°]:[Valeur fin de journée unique]],Table_BDD[[#This Row],[Nb de trade du jour]]+Table_BDD[[#This Row],[Trade n°]]-1,21))-Table_BDD[[#This Row],[Valeur début de journée unique]])/Table_BDD[[#This Row],[Valeur début de journée unique]],"")</f>
        <v>2.8374933871976173E-2</v>
      </c>
      <c r="AL159" s="32">
        <f>IF(Table_BDD[[#This Row],[Position]]="","",MAX(Table_BDD[[#This Row],[Cumul équité]],AL158))</f>
        <v>832.11</v>
      </c>
      <c r="AM159" s="32">
        <f>IF(Table_BDD[[#This Row],[Position]]="","",MIN(Table_BDD[[#This Row],[Cumul équité]],AL158))</f>
        <v>832.11</v>
      </c>
      <c r="AN159" s="97">
        <f>IF(Table_BDD[[#This Row],[Sommet Drawdown]]&gt;AL158,"",Table_BDD[[#This Row],[Creux Drawdown]]/Table_BDD[[#This Row],[Sommet Drawdown]]-1)</f>
        <v>0</v>
      </c>
      <c r="AO159" s="36">
        <f>IF(Table_BDD[[#This Row],[Position]]="","",IF(Table_BDD[[#This Row],[Type]]="buy",ROUND(Table_BDD[[#This Row],[Lvl Sortie]]-Table_BDD[[#This Row],[Lvl Entrée]],1),ROUND(Table_BDD[[#This Row],[Lvl Entrée]]-Table_BDD[[#This Row],[Lvl Sortie]],1)))</f>
        <v>0.9</v>
      </c>
      <c r="AP159" s="36">
        <f>IF(Table_BDD[[#This Row],[Points]]&gt;0,Table_BDD[[#This Row],[Points]],"")</f>
        <v>0.9</v>
      </c>
      <c r="AQ159" s="36" t="str">
        <f>IF(Table_BDD[[#This Row],[Points]]&lt;0,Table_BDD[[#This Row],[Points]],"")</f>
        <v/>
      </c>
      <c r="AR159" s="36">
        <f>SUM($AO$4:AO159)</f>
        <v>-351.20000000000022</v>
      </c>
      <c r="AS159" s="68">
        <f>IF(Table_BDD[[#This Row],[Position]]="","",IF(Table_BDD[[#This Row],[Conformité]]="Conforme",1,0))</f>
        <v>1</v>
      </c>
      <c r="AT159" s="68">
        <f>IF(Table_BDD[[#This Row],[Position]]="","",IF(Table_BDD[[#This Row],[Conformité]]="Non conforme",1,0))</f>
        <v>0</v>
      </c>
      <c r="AU159" s="37" t="s">
        <v>16</v>
      </c>
      <c r="AV159" s="37" t="s">
        <v>20</v>
      </c>
      <c r="AW159" s="37" t="s">
        <v>217</v>
      </c>
      <c r="AX159" s="37">
        <v>1</v>
      </c>
      <c r="AY159" s="37">
        <v>1</v>
      </c>
      <c r="AZ159" s="37">
        <v>0</v>
      </c>
      <c r="BA159" s="40" t="str">
        <f>IF(Table_BDD[[#This Row],[Position]]="","Sans objet",IF(AND(Table_BDD[[#This Row],[Type]]="sell",Table_BDD[[#This Row],[S / L]]&lt;Table_BDD[[#This Row],[Lvl Entrée]],Table_BDD[[#This Row],[Lvl Sortie]]&lt;=Table_BDD[[#This Row],[S / L]]+2,Table_BDD[[#This Row],[Lvl Sortie]]&lt;Table_BDD[[#This Row],[Lvl Entrée]]-19),"Oui",IF(AND(Table_BDD[[#This Row],[Type]]="buy",Table_BDD[[#This Row],[S / L]]&gt;Table_BDD[[#This Row],[Lvl Entrée]],Table_BDD[[#This Row],[Lvl Sortie]]&gt;=Table_BDD[[#This Row],[S / L]]-2,Table_BDD[[#This Row],[S / L]]&gt;Table_BDD[[#This Row],[Lvl Entrée]]+19),"Oui","Non")))</f>
        <v>Non</v>
      </c>
      <c r="BB159" s="40" t="str">
        <f>IF(Table_BDD[[#This Row],[Position]]="","Sans objet",IF(AND(Table_BDD[[#This Row],[Type]]="sell",Table_BDD[[#This Row],[S / L]]&lt;Table_BDD[[#This Row],[Lvl Entrée]],Table_BDD[[#This Row],[Points]]&gt;=-1),"Oui",IF(AND(Table_BDD[[#This Row],[Type]]="sell",Table_BDD[[#This Row],[S / L]]&gt;Table_BDD[[#This Row],[Lvl Entrée]]),"Non",IF(AND(Table_BDD[[#This Row],[Type]]="buy",Table_BDD[[#This Row],[S / L]]&lt;Table_BDD[[#This Row],[Lvl Entrée]]),"Non",IF(AND(Table_BDD[[#This Row],[Type]]="buy",Table_BDD[[#This Row],[S / L]]&gt;Table_BDD[[#This Row],[Lvl Entrée]],Table_BDD[[#This Row],[Points]]&gt;=-1),"Oui")))))</f>
        <v>Oui</v>
      </c>
      <c r="BC159" s="40" t="str">
        <f>IF(Table_BDD[[#This Row],[Position]]="","Sans objet",IF(Table_BDD[[#This Row],[T / P]]="","Non",IF(AND(Table_BDD[[#This Row],[Type]]="sell",Table_BDD[[#This Row],[Lvl Sortie]]&lt;=Table_BDD[[#This Row],[T / P]]),"Oui",IF(AND(Table_BDD[[#This Row],[Type]]="buy",Table_BDD[[#This Row],[Lvl Sortie]]&gt;=Table_BDD[[#This Row],[T / P]]),"Oui","Non"))))</f>
        <v>Non</v>
      </c>
      <c r="BD159" s="91">
        <f t="array" ref="BD159">IFERROR(INDEX(downloadFile[#All],MATCH(Table_BDD[[#This Row],[Date]],downloadFile[[#All],[Column1]],0),2),BD157)</f>
        <v>1.079</v>
      </c>
      <c r="BE159" s="89">
        <f>IF(Table_BDD[[#This Row],[Position]]="","",IF(Table_BDD[[#This Row],[Symbole]]="UsaInd",(Table_BDD[[#This Row],[Volume]]*Table_BDD[[#This Row],[Lvl Entrée]])/(Table_BDD[[#This Row],[Equité avant trade]]*Table_BDD[[#This Row],[EUR/USD]]),IF(Table_BDD[[#This Row],[Symbole]]="Ger30",(Table_BDD[[#This Row],[Volume]]*Table_BDD[[#This Row],[Lvl Entrée]])/Table_BDD[[#This Row],[Equité avant trade]],)))</f>
        <v>14.679209496387601</v>
      </c>
      <c r="BF159" s="38">
        <f>IF(Table_BDD[[#This Row],[Position]]="","",IF(Table_BDD[[#This Row],[Conformité]]="Non conforme",0,(MROUND(3*((Table_BDD[[#This Row],[Conviction]]+Table_BDD[[#This Row],[Timing]]+Table_BDD[[#This Row],[Sortie]])+1)-2,1))))</f>
        <v>7</v>
      </c>
      <c r="BG159" s="38" t="str">
        <f>IF(Table_BDD[[#This Row],[Position]]="","",IF(Table_BDD[[#This Row],[Points]]&lt;-5,"--",IF(AND(Table_BDD[[#This Row],[Points]]&gt;=-5,Table_BDD[[#This Row],[Points]]&lt;-1.5),"-",IF(AND(Table_BDD[[#This Row],[Points]]&gt;=-1.5,Table_BDD[[#This Row],[Points]]&lt;1.5),"0",IF(AND(Table_BDD[[#This Row],[Points]]&gt;=1.5,Table_BDD[[#This Row],[Points]]&lt;=70),"+",IF(Table_BDD[[#This Row],[Points]]&gt;70,"++"))))))</f>
        <v>0</v>
      </c>
      <c r="BH159" s="37" t="str">
        <f>IF(Table_BDD[[#This Row],[Position]]="","",IF(Table_BDD[[#This Row],[Points]]&gt;0,"Gagnant",IF(Table_BDD[[#This Row],[Points]]=0,"Flat","Perdant")))</f>
        <v>Gagnant</v>
      </c>
      <c r="BI159" s="40">
        <f>IF(Table_BDD[[#This Row],[Position]]="","",IF(Table_BDD[[#This Row],[Résultat]]="Gagnant",1,0))</f>
        <v>1</v>
      </c>
      <c r="BJ159" s="40">
        <f>IF(Table_BDD[[#This Row],[Position]]="","",IF(Table_BDD[[#This Row],[Résultat]]="Perdant",1,0))</f>
        <v>0</v>
      </c>
      <c r="BK159" s="40">
        <v>29270.97</v>
      </c>
      <c r="BL159" s="145">
        <f>IF(Table_BDD[[#This Row],[T / P]]="","",Table_BDD[[#This Row],[T / P]])</f>
        <v>29329.45</v>
      </c>
      <c r="BM159" s="147" t="s">
        <v>245</v>
      </c>
      <c r="BN159" s="147" t="s">
        <v>234</v>
      </c>
      <c r="BO159" s="147" t="s">
        <v>202</v>
      </c>
      <c r="BP159" s="147" t="s">
        <v>246</v>
      </c>
      <c r="BQ159" s="127" t="s">
        <v>247</v>
      </c>
    </row>
    <row r="160" spans="1:69" x14ac:dyDescent="0.2">
      <c r="A160" s="93">
        <v>43881.757106481484</v>
      </c>
      <c r="B160" s="94">
        <v>260357541</v>
      </c>
      <c r="C160" s="37" t="s">
        <v>8</v>
      </c>
      <c r="D160" s="37" t="s">
        <v>9</v>
      </c>
      <c r="E160" s="37">
        <v>0.45</v>
      </c>
      <c r="F160" s="95">
        <v>29032.66</v>
      </c>
      <c r="G160" s="95">
        <v>29034.16</v>
      </c>
      <c r="H160" s="95">
        <v>29132.66</v>
      </c>
      <c r="I160" s="93">
        <v>43881.760416666664</v>
      </c>
      <c r="J160" s="95">
        <v>29088.37</v>
      </c>
      <c r="K160" s="95">
        <v>0</v>
      </c>
      <c r="L160" s="95">
        <v>0</v>
      </c>
      <c r="M160" s="32">
        <v>23.21</v>
      </c>
      <c r="N160" s="148">
        <f>IF(Table_BDD[[#This Row],[Position]]="","",ROW()-3)</f>
        <v>157</v>
      </c>
      <c r="O160" s="32">
        <f>SUM($L$4:M160)</f>
        <v>-144.67999999999998</v>
      </c>
      <c r="P160" s="32">
        <f>Table_BDD[[#This Row],[Equité avant trade]]+Table_BDD[[#This Row],[Profit]]+Table_BDD[[#This Row],[Echange]]</f>
        <v>855.32</v>
      </c>
      <c r="Q160" s="52">
        <f>INT(Table_BDD[[#This Row],[Horodatage cloture]])</f>
        <v>43881</v>
      </c>
      <c r="R160" s="34">
        <f>WEEKNUM(Table_BDD[[#This Row],[Horodatage cloture]],2)</f>
        <v>8</v>
      </c>
      <c r="S160" s="61">
        <f>WEEKDAY(Table_BDD[[#This Row],[Horodatage cloture]])</f>
        <v>5</v>
      </c>
      <c r="T160" s="63">
        <f>HOUR(Table_BDD[[#This Row],[Horodatage cloture]])</f>
        <v>18</v>
      </c>
      <c r="U160" s="68">
        <f>IF(Table_BDD[[#This Row],[Position]]="","",IF(Table_BDD[[#This Row],[Valeur début de journée unique]]&lt;&gt;0,1,0))</f>
        <v>0</v>
      </c>
      <c r="V160" s="68" t="str">
        <f>IF(Table_BDD[[#This Row],[Nb de séance de trading]]=1,COUNTIF(Table_BDD[Date],Table_BDD[[#This Row],[Date]]),"")</f>
        <v/>
      </c>
      <c r="W160" s="33">
        <f>IF(Table_BDD[[#This Row],[Position]]="","",IF(Table_BDD[[#This Row],[Type]]="buy",ROUND(Table_BDD[[#This Row],[Lvl Entrée]]-Table_BDD[[#This Row],[S / L]],1),ROUND(Table_BDD[[#This Row],[S / L]]-Table_BDD[[#This Row],[Lvl Entrée]],1)))</f>
        <v>-1.5</v>
      </c>
      <c r="X160" s="33">
        <f>IF(Table_BDD[[#This Row],[Position]]="","",IF(Table_BDD[[#This Row],[T / P]]=0,200,IF(Table_BDD[[#This Row],[Type]]="buy",ROUND(Table_BDD[[#This Row],[T / P]]-Table_BDD[[#This Row],[Lvl Entrée]],1),ROUND(Table_BDD[[#This Row],[Lvl Entrée]]-Table_BDD[[#This Row],[T / P]],1))))</f>
        <v>100</v>
      </c>
      <c r="Y160" s="34">
        <f>IF(Table_BDD[[#This Row],[Position]]="","",IF(Table_BDD[[#This Row],[Ecart du SL]]&gt;0,ROUND(ABS(Table_BDD[[#This Row],[Ecart du TP]])/ABS(Table_BDD[[#This Row],[Ecart du SL]]),1),ROUND(ABS(Table_BDD[[#This Row],[Ecart du TP]])/10,1)))</f>
        <v>10</v>
      </c>
      <c r="Z160" s="34">
        <f>IF(Table_BDD[[#This Row],[Position]]="","",IF(Table_BDD[[#This Row],[Ecart du SL]]&lt;0,IF(AND(Table_BDD[[#This Row],[Profit]]&gt;0,Table_BDD[[#This Row],[Type]]="sell"),ROUND((Table_BDD[[#This Row],[Lvl Entrée]]-Table_BDD[[#This Row],[Lvl Sortie]])/(10),1),IF(AND(Table_BDD[[#This Row],[Profit]]&gt;0,Table_BDD[[#This Row],[Type]]="buy"),ROUND((Table_BDD[[#This Row],[Lvl Sortie]]-Table_BDD[[#This Row],[Lvl Entrée]])/(10),1),)),IF(AND(Table_BDD[[#This Row],[Profit]]&gt;0,Table_BDD[[#This Row],[Type]]="sell"),ROUND((Table_BDD[[#This Row],[Lvl Entrée]]-Table_BDD[[#This Row],[Lvl Sortie]])/(Table_BDD[[#This Row],[S / L]]-Table_BDD[[#This Row],[Lvl Entrée]]),1),IF(AND(Table_BDD[[#This Row],[Profit]]&gt;0,Table_BDD[[#This Row],[Type]]="buy"),ROUND((Table_BDD[[#This Row],[Lvl Sortie]]-Table_BDD[[#This Row],[Lvl Entrée]])/(Table_BDD[[#This Row],[Lvl Entrée]]-Table_BDD[[#This Row],[S / L]]),1),ROUND(Table_BDD[[#This Row],[Points]]/10,1)))))</f>
        <v>5.6</v>
      </c>
      <c r="AA160" s="32">
        <f>IF(Table_BDD[[#This Row],[Position]]="",AA159,Table_BDD[[#This Row],[Equité après trade]]-Table_BDD[[#This Row],[Profit]]-Table_BDD[[#This Row],[Echange]])</f>
        <v>832.11</v>
      </c>
      <c r="AB160" s="149">
        <f>$B$1+SUM($L$4:M160)</f>
        <v>855.32</v>
      </c>
      <c r="AC160" s="150">
        <f>IF(Table_BDD[[#This Row],[Position]]="","",_xlfn.MINIFS(Table_BDD[Horodatage ouverture],Table_BDD[Date],Table_BDD[Date]))</f>
        <v>43881.628252314818</v>
      </c>
      <c r="AD160" s="149">
        <f>VLOOKUP(_xlfn.MINIFS(Table_BDD[Horodatage ouverture],Table_BDD[Date],Table_BDD[Date]),Table_BDD[[Horodatage ouverture]:[Heure derniere valeur]],AA$2)</f>
        <v>831.72</v>
      </c>
      <c r="AE160" s="149">
        <f>IF(VLOOKUP(_xlfn.MINIFS(Table_BDD[Horodatage ouverture],Table_BDD[Date],Table_BDD[Date]),Table_BDD[[Horodatage ouverture]:[Heure derniere valeur]],AA$2)=Table_BDD[[#This Row],[Equité avant trade]],VLOOKUP(_xlfn.MINIFS(Table_BDD[Horodatage ouverture],Table_BDD[Date],Table_BDD[Date]),Table_BDD[[Horodatage ouverture]:[Heure derniere valeur]],AA$2),0)</f>
        <v>0</v>
      </c>
      <c r="AF160" s="150">
        <f>IF(Table_BDD[[#This Row],[Position]]="","",_xlfn.MAXIFS(Table_BDD[Horodatage ouverture],Table_BDD[Date],Table_BDD[Date]))</f>
        <v>43881.757106481484</v>
      </c>
      <c r="AG160" s="32">
        <f>VLOOKUP(_xlfn.MAXIFS(Table_BDD[Horodatage cloture],Table_BDD[Date],Table_BDD[Date]),Table_BDD[[Horodatage ouverture]:[Heure derniere valeur]],AB$2)</f>
        <v>855.32</v>
      </c>
      <c r="AH160" s="32">
        <f>IF(VLOOKUP(_xlfn.MAXIFS(Table_BDD[Horodatage cloture],Table_BDD[Date],Table_BDD[Date]),Table_BDD[[Horodatage ouverture]:[Heure derniere valeur]],AB$2)=Table_BDD[[#This Row],[Equité après trade]],VLOOKUP(_xlfn.MAXIFS(Table_BDD[Horodatage cloture],Table_BDD[Date],Table_BDD[Date]),Table_BDD[[Horodatage ouverture]:[Heure derniere valeur]],AB$2),0)</f>
        <v>855.32</v>
      </c>
      <c r="AI160" s="32">
        <f>IF(Table_BDD[[#This Row],[Valeur fin de journée unique]]=0,#N/A,Table_BDD[[#This Row],[Valeur fin de journée unique]])</f>
        <v>855.32</v>
      </c>
      <c r="AJ160" s="35">
        <f>IF(Table_BDD[[#This Row],[Position]]="","",(Table_BDD[[#This Row],[Equité après trade]]-Table_BDD[[#This Row],[Equité avant trade]])/Table_BDD[[#This Row],[Equité avant trade]])</f>
        <v>2.7892946845969928E-2</v>
      </c>
      <c r="AK160" s="35" t="str">
        <f>IFERROR(((INDEX(Table_BDD[[Trade n°]:[Valeur fin de journée unique]],Table_BDD[[#This Row],[Nb de trade du jour]]+Table_BDD[[#This Row],[Trade n°]]-1,21))-Table_BDD[[#This Row],[Valeur début de journée unique]])/Table_BDD[[#This Row],[Valeur début de journée unique]],"")</f>
        <v/>
      </c>
      <c r="AL160" s="32">
        <f>IF(Table_BDD[[#This Row],[Position]]="","",MAX(Table_BDD[[#This Row],[Cumul équité]],AL159))</f>
        <v>855.32</v>
      </c>
      <c r="AM160" s="32">
        <f>IF(Table_BDD[[#This Row],[Position]]="","",MIN(Table_BDD[[#This Row],[Cumul équité]],AL159))</f>
        <v>832.11</v>
      </c>
      <c r="AN160" s="97" t="str">
        <f>IF(Table_BDD[[#This Row],[Sommet Drawdown]]&gt;AL159,"",Table_BDD[[#This Row],[Creux Drawdown]]/Table_BDD[[#This Row],[Sommet Drawdown]]-1)</f>
        <v/>
      </c>
      <c r="AO160" s="36">
        <f>IF(Table_BDD[[#This Row],[Position]]="","",IF(Table_BDD[[#This Row],[Type]]="buy",ROUND(Table_BDD[[#This Row],[Lvl Sortie]]-Table_BDD[[#This Row],[Lvl Entrée]],1),ROUND(Table_BDD[[#This Row],[Lvl Entrée]]-Table_BDD[[#This Row],[Lvl Sortie]],1)))</f>
        <v>55.7</v>
      </c>
      <c r="AP160" s="36">
        <f>IF(Table_BDD[[#This Row],[Points]]&gt;0,Table_BDD[[#This Row],[Points]],"")</f>
        <v>55.7</v>
      </c>
      <c r="AQ160" s="36" t="str">
        <f>IF(Table_BDD[[#This Row],[Points]]&lt;0,Table_BDD[[#This Row],[Points]],"")</f>
        <v/>
      </c>
      <c r="AR160" s="36">
        <f>SUM($AO$4:AO160)</f>
        <v>-295.50000000000023</v>
      </c>
      <c r="AS160" s="68">
        <f>IF(Table_BDD[[#This Row],[Position]]="","",IF(Table_BDD[[#This Row],[Conformité]]="Conforme",1,0))</f>
        <v>1</v>
      </c>
      <c r="AT160" s="68">
        <f>IF(Table_BDD[[#This Row],[Position]]="","",IF(Table_BDD[[#This Row],[Conformité]]="Non conforme",1,0))</f>
        <v>0</v>
      </c>
      <c r="AU160" s="37" t="s">
        <v>16</v>
      </c>
      <c r="AV160" s="37" t="s">
        <v>20</v>
      </c>
      <c r="AW160" s="37" t="s">
        <v>217</v>
      </c>
      <c r="AX160" s="37">
        <v>0</v>
      </c>
      <c r="AY160" s="37">
        <v>1</v>
      </c>
      <c r="AZ160" s="37">
        <v>0</v>
      </c>
      <c r="BA160" s="40" t="str">
        <f>IF(Table_BDD[[#This Row],[Position]]="","Sans objet",IF(AND(Table_BDD[[#This Row],[Type]]="sell",Table_BDD[[#This Row],[S / L]]&lt;Table_BDD[[#This Row],[Lvl Entrée]],Table_BDD[[#This Row],[Lvl Sortie]]&lt;=Table_BDD[[#This Row],[S / L]]+2,Table_BDD[[#This Row],[Lvl Sortie]]&lt;Table_BDD[[#This Row],[Lvl Entrée]]-19),"Oui",IF(AND(Table_BDD[[#This Row],[Type]]="buy",Table_BDD[[#This Row],[S / L]]&gt;Table_BDD[[#This Row],[Lvl Entrée]],Table_BDD[[#This Row],[Lvl Sortie]]&gt;=Table_BDD[[#This Row],[S / L]]-2,Table_BDD[[#This Row],[S / L]]&gt;Table_BDD[[#This Row],[Lvl Entrée]]+19),"Oui","Non")))</f>
        <v>Non</v>
      </c>
      <c r="BB160" s="40" t="str">
        <f>IF(Table_BDD[[#This Row],[Position]]="","Sans objet",IF(AND(Table_BDD[[#This Row],[Type]]="sell",Table_BDD[[#This Row],[S / L]]&lt;Table_BDD[[#This Row],[Lvl Entrée]],Table_BDD[[#This Row],[Points]]&gt;=-1),"Oui",IF(AND(Table_BDD[[#This Row],[Type]]="sell",Table_BDD[[#This Row],[S / L]]&gt;Table_BDD[[#This Row],[Lvl Entrée]]),"Non",IF(AND(Table_BDD[[#This Row],[Type]]="buy",Table_BDD[[#This Row],[S / L]]&lt;Table_BDD[[#This Row],[Lvl Entrée]]),"Non",IF(AND(Table_BDD[[#This Row],[Type]]="buy",Table_BDD[[#This Row],[S / L]]&gt;Table_BDD[[#This Row],[Lvl Entrée]],Table_BDD[[#This Row],[Points]]&gt;=-1),"Oui")))))</f>
        <v>Oui</v>
      </c>
      <c r="BC160" s="40" t="str">
        <f>IF(Table_BDD[[#This Row],[Position]]="","Sans objet",IF(Table_BDD[[#This Row],[T / P]]="","Non",IF(AND(Table_BDD[[#This Row],[Type]]="sell",Table_BDD[[#This Row],[Lvl Sortie]]&lt;=Table_BDD[[#This Row],[T / P]]),"Oui",IF(AND(Table_BDD[[#This Row],[Type]]="buy",Table_BDD[[#This Row],[Lvl Sortie]]&gt;=Table_BDD[[#This Row],[T / P]]),"Oui","Non"))))</f>
        <v>Non</v>
      </c>
      <c r="BD160" s="91">
        <f t="array" ref="BD160">IFERROR(INDEX(downloadFile[#All],MATCH(Table_BDD[[#This Row],[Date]],downloadFile[[#All],[Column1]],0),2),BD159)</f>
        <v>1.079</v>
      </c>
      <c r="BE160" s="89">
        <f>IF(Table_BDD[[#This Row],[Position]]="","",IF(Table_BDD[[#This Row],[Symbole]]="UsaInd",(Table_BDD[[#This Row],[Volume]]*Table_BDD[[#This Row],[Lvl Entrée]])/(Table_BDD[[#This Row],[Equité avant trade]]*Table_BDD[[#This Row],[EUR/USD]]),IF(Table_BDD[[#This Row],[Symbole]]="Ger30",(Table_BDD[[#This Row],[Volume]]*Table_BDD[[#This Row],[Lvl Entrée]])/Table_BDD[[#This Row],[Equité avant trade]],)))</f>
        <v>14.551144583492311</v>
      </c>
      <c r="BF160" s="38">
        <f>IF(Table_BDD[[#This Row],[Position]]="","",IF(Table_BDD[[#This Row],[Conformité]]="Non conforme",0,(MROUND(3*((Table_BDD[[#This Row],[Conviction]]+Table_BDD[[#This Row],[Timing]]+Table_BDD[[#This Row],[Sortie]])+1)-2,1))))</f>
        <v>4</v>
      </c>
      <c r="BG160" s="38" t="str">
        <f>IF(Table_BDD[[#This Row],[Position]]="","",IF(Table_BDD[[#This Row],[Points]]&lt;-5,"--",IF(AND(Table_BDD[[#This Row],[Points]]&gt;=-5,Table_BDD[[#This Row],[Points]]&lt;-1.5),"-",IF(AND(Table_BDD[[#This Row],[Points]]&gt;=-1.5,Table_BDD[[#This Row],[Points]]&lt;1.5),"0",IF(AND(Table_BDD[[#This Row],[Points]]&gt;=1.5,Table_BDD[[#This Row],[Points]]&lt;=70),"+",IF(Table_BDD[[#This Row],[Points]]&gt;70,"++"))))))</f>
        <v>+</v>
      </c>
      <c r="BH160" s="37" t="str">
        <f>IF(Table_BDD[[#This Row],[Position]]="","",IF(Table_BDD[[#This Row],[Points]]&gt;0,"Gagnant",IF(Table_BDD[[#This Row],[Points]]=0,"Flat","Perdant")))</f>
        <v>Gagnant</v>
      </c>
      <c r="BI160" s="40">
        <f>IF(Table_BDD[[#This Row],[Position]]="","",IF(Table_BDD[[#This Row],[Résultat]]="Gagnant",1,0))</f>
        <v>1</v>
      </c>
      <c r="BJ160" s="40">
        <f>IF(Table_BDD[[#This Row],[Position]]="","",IF(Table_BDD[[#This Row],[Résultat]]="Perdant",1,0))</f>
        <v>0</v>
      </c>
      <c r="BK160" s="40">
        <v>29013.53</v>
      </c>
      <c r="BL160" s="145">
        <f>IF(Table_BDD[[#This Row],[T / P]]="","",Table_BDD[[#This Row],[T / P]])</f>
        <v>29132.66</v>
      </c>
      <c r="BM160" s="147" t="s">
        <v>248</v>
      </c>
      <c r="BN160" s="147" t="s">
        <v>230</v>
      </c>
      <c r="BO160" s="147" t="s">
        <v>202</v>
      </c>
      <c r="BP160" s="147" t="s">
        <v>249</v>
      </c>
      <c r="BQ160" s="127" t="s">
        <v>247</v>
      </c>
    </row>
    <row r="161" spans="1:69" x14ac:dyDescent="0.2">
      <c r="A161" s="93">
        <v>43882.357361111113</v>
      </c>
      <c r="B161" s="94">
        <v>260390997</v>
      </c>
      <c r="C161" s="37" t="s">
        <v>8</v>
      </c>
      <c r="D161" s="37" t="s">
        <v>9</v>
      </c>
      <c r="E161" s="37">
        <v>0.45</v>
      </c>
      <c r="F161" s="95">
        <v>29021.73</v>
      </c>
      <c r="G161" s="95">
        <v>29011.73</v>
      </c>
      <c r="H161" s="95">
        <v>29067.8</v>
      </c>
      <c r="I161" s="93">
        <v>43882.36314814815</v>
      </c>
      <c r="J161" s="95">
        <v>29022.75</v>
      </c>
      <c r="K161" s="95">
        <v>0</v>
      </c>
      <c r="L161" s="95">
        <v>0</v>
      </c>
      <c r="M161" s="32">
        <v>0.43</v>
      </c>
      <c r="N161" s="148">
        <f>IF(Table_BDD[[#This Row],[Position]]="","",ROW()-3)</f>
        <v>158</v>
      </c>
      <c r="O161" s="32">
        <f>SUM($L$4:M161)</f>
        <v>-144.24999999999997</v>
      </c>
      <c r="P161" s="32">
        <f>Table_BDD[[#This Row],[Equité avant trade]]+Table_BDD[[#This Row],[Profit]]+Table_BDD[[#This Row],[Echange]]</f>
        <v>855.75</v>
      </c>
      <c r="Q161" s="52">
        <f>INT(Table_BDD[[#This Row],[Horodatage cloture]])</f>
        <v>43882</v>
      </c>
      <c r="R161" s="34">
        <f>WEEKNUM(Table_BDD[[#This Row],[Horodatage cloture]],2)</f>
        <v>8</v>
      </c>
      <c r="S161" s="61">
        <f>WEEKDAY(Table_BDD[[#This Row],[Horodatage cloture]])</f>
        <v>6</v>
      </c>
      <c r="T161" s="63">
        <f>HOUR(Table_BDD[[#This Row],[Horodatage cloture]])</f>
        <v>8</v>
      </c>
      <c r="U161" s="68">
        <f>IF(Table_BDD[[#This Row],[Position]]="","",IF(Table_BDD[[#This Row],[Valeur début de journée unique]]&lt;&gt;0,1,0))</f>
        <v>1</v>
      </c>
      <c r="V161" s="68">
        <f>IF(Table_BDD[[#This Row],[Nb de séance de trading]]=1,COUNTIF(Table_BDD[Date],Table_BDD[[#This Row],[Date]]),"")</f>
        <v>1</v>
      </c>
      <c r="W161" s="33">
        <f>IF(Table_BDD[[#This Row],[Position]]="","",IF(Table_BDD[[#This Row],[Type]]="buy",ROUND(Table_BDD[[#This Row],[Lvl Entrée]]-Table_BDD[[#This Row],[S / L]],1),ROUND(Table_BDD[[#This Row],[S / L]]-Table_BDD[[#This Row],[Lvl Entrée]],1)))</f>
        <v>10</v>
      </c>
      <c r="X161" s="33">
        <f>IF(Table_BDD[[#This Row],[Position]]="","",IF(Table_BDD[[#This Row],[T / P]]=0,200,IF(Table_BDD[[#This Row],[Type]]="buy",ROUND(Table_BDD[[#This Row],[T / P]]-Table_BDD[[#This Row],[Lvl Entrée]],1),ROUND(Table_BDD[[#This Row],[Lvl Entrée]]-Table_BDD[[#This Row],[T / P]],1))))</f>
        <v>46.1</v>
      </c>
      <c r="Y161" s="34">
        <f>IF(Table_BDD[[#This Row],[Position]]="","",IF(Table_BDD[[#This Row],[Ecart du SL]]&gt;0,ROUND(ABS(Table_BDD[[#This Row],[Ecart du TP]])/ABS(Table_BDD[[#This Row],[Ecart du SL]]),1),ROUND(ABS(Table_BDD[[#This Row],[Ecart du TP]])/10,1)))</f>
        <v>4.5999999999999996</v>
      </c>
      <c r="Z161" s="34">
        <f>IF(Table_BDD[[#This Row],[Position]]="","",IF(Table_BDD[[#This Row],[Ecart du SL]]&lt;0,IF(AND(Table_BDD[[#This Row],[Profit]]&gt;0,Table_BDD[[#This Row],[Type]]="sell"),ROUND((Table_BDD[[#This Row],[Lvl Entrée]]-Table_BDD[[#This Row],[Lvl Sortie]])/(10),1),IF(AND(Table_BDD[[#This Row],[Profit]]&gt;0,Table_BDD[[#This Row],[Type]]="buy"),ROUND((Table_BDD[[#This Row],[Lvl Sortie]]-Table_BDD[[#This Row],[Lvl Entrée]])/(10),1),)),IF(AND(Table_BDD[[#This Row],[Profit]]&gt;0,Table_BDD[[#This Row],[Type]]="sell"),ROUND((Table_BDD[[#This Row],[Lvl Entrée]]-Table_BDD[[#This Row],[Lvl Sortie]])/(Table_BDD[[#This Row],[S / L]]-Table_BDD[[#This Row],[Lvl Entrée]]),1),IF(AND(Table_BDD[[#This Row],[Profit]]&gt;0,Table_BDD[[#This Row],[Type]]="buy"),ROUND((Table_BDD[[#This Row],[Lvl Sortie]]-Table_BDD[[#This Row],[Lvl Entrée]])/(Table_BDD[[#This Row],[Lvl Entrée]]-Table_BDD[[#This Row],[S / L]]),1),ROUND(Table_BDD[[#This Row],[Points]]/10,1)))))</f>
        <v>0.1</v>
      </c>
      <c r="AA161" s="32">
        <f>IF(Table_BDD[[#This Row],[Position]]="",AA160,Table_BDD[[#This Row],[Equité après trade]]-Table_BDD[[#This Row],[Profit]]-Table_BDD[[#This Row],[Echange]])</f>
        <v>855.32</v>
      </c>
      <c r="AB161" s="149">
        <f>$B$1+SUM($L$4:M161)</f>
        <v>855.75</v>
      </c>
      <c r="AC161" s="150">
        <f>IF(Table_BDD[[#This Row],[Position]]="","",_xlfn.MINIFS(Table_BDD[Horodatage ouverture],Table_BDD[Date],Table_BDD[Date]))</f>
        <v>43882.357361111113</v>
      </c>
      <c r="AD161" s="149">
        <f>VLOOKUP(_xlfn.MINIFS(Table_BDD[Horodatage ouverture],Table_BDD[Date],Table_BDD[Date]),Table_BDD[[Horodatage ouverture]:[Heure derniere valeur]],AA$2)</f>
        <v>855.32</v>
      </c>
      <c r="AE161" s="149">
        <f>IF(VLOOKUP(_xlfn.MINIFS(Table_BDD[Horodatage ouverture],Table_BDD[Date],Table_BDD[Date]),Table_BDD[[Horodatage ouverture]:[Heure derniere valeur]],AA$2)=Table_BDD[[#This Row],[Equité avant trade]],VLOOKUP(_xlfn.MINIFS(Table_BDD[Horodatage ouverture],Table_BDD[Date],Table_BDD[Date]),Table_BDD[[Horodatage ouverture]:[Heure derniere valeur]],AA$2),0)</f>
        <v>855.32</v>
      </c>
      <c r="AF161" s="150">
        <f>IF(Table_BDD[[#This Row],[Position]]="","",_xlfn.MAXIFS(Table_BDD[Horodatage ouverture],Table_BDD[Date],Table_BDD[Date]))</f>
        <v>43882.357361111113</v>
      </c>
      <c r="AG161" s="32">
        <f>VLOOKUP(_xlfn.MAXIFS(Table_BDD[Horodatage cloture],Table_BDD[Date],Table_BDD[Date]),Table_BDD[[Horodatage ouverture]:[Heure derniere valeur]],AB$2)</f>
        <v>855.75</v>
      </c>
      <c r="AH161" s="32">
        <f>IF(VLOOKUP(_xlfn.MAXIFS(Table_BDD[Horodatage cloture],Table_BDD[Date],Table_BDD[Date]),Table_BDD[[Horodatage ouverture]:[Heure derniere valeur]],AB$2)=Table_BDD[[#This Row],[Equité après trade]],VLOOKUP(_xlfn.MAXIFS(Table_BDD[Horodatage cloture],Table_BDD[Date],Table_BDD[Date]),Table_BDD[[Horodatage ouverture]:[Heure derniere valeur]],AB$2),0)</f>
        <v>855.75</v>
      </c>
      <c r="AI161" s="32">
        <f>IF(Table_BDD[[#This Row],[Valeur fin de journée unique]]=0,#N/A,Table_BDD[[#This Row],[Valeur fin de journée unique]])</f>
        <v>855.75</v>
      </c>
      <c r="AJ161" s="35">
        <f>IF(Table_BDD[[#This Row],[Position]]="","",(Table_BDD[[#This Row],[Equité après trade]]-Table_BDD[[#This Row],[Equité avant trade]])/Table_BDD[[#This Row],[Equité avant trade]])</f>
        <v>5.0273581817325671E-4</v>
      </c>
      <c r="AK161" s="35">
        <f>IFERROR(((INDEX(Table_BDD[[Trade n°]:[Valeur fin de journée unique]],Table_BDD[[#This Row],[Nb de trade du jour]]+Table_BDD[[#This Row],[Trade n°]]-1,21))-Table_BDD[[#This Row],[Valeur début de journée unique]])/Table_BDD[[#This Row],[Valeur début de journée unique]],"")</f>
        <v>5.0273581817325671E-4</v>
      </c>
      <c r="AL161" s="32">
        <f>IF(Table_BDD[[#This Row],[Position]]="","",MAX(Table_BDD[[#This Row],[Cumul équité]],AL160))</f>
        <v>855.75</v>
      </c>
      <c r="AM161" s="32">
        <f>IF(Table_BDD[[#This Row],[Position]]="","",MIN(Table_BDD[[#This Row],[Cumul équité]],AL160))</f>
        <v>855.32</v>
      </c>
      <c r="AN161" s="97" t="str">
        <f>IF(Table_BDD[[#This Row],[Sommet Drawdown]]&gt;AL160,"",Table_BDD[[#This Row],[Creux Drawdown]]/Table_BDD[[#This Row],[Sommet Drawdown]]-1)</f>
        <v/>
      </c>
      <c r="AO161" s="36">
        <f>IF(Table_BDD[[#This Row],[Position]]="","",IF(Table_BDD[[#This Row],[Type]]="buy",ROUND(Table_BDD[[#This Row],[Lvl Sortie]]-Table_BDD[[#This Row],[Lvl Entrée]],1),ROUND(Table_BDD[[#This Row],[Lvl Entrée]]-Table_BDD[[#This Row],[Lvl Sortie]],1)))</f>
        <v>1</v>
      </c>
      <c r="AP161" s="36">
        <f>IF(Table_BDD[[#This Row],[Points]]&gt;0,Table_BDD[[#This Row],[Points]],"")</f>
        <v>1</v>
      </c>
      <c r="AQ161" s="36" t="str">
        <f>IF(Table_BDD[[#This Row],[Points]]&lt;0,Table_BDD[[#This Row],[Points]],"")</f>
        <v/>
      </c>
      <c r="AR161" s="36">
        <f>SUM($AO$4:AO161)</f>
        <v>-294.50000000000023</v>
      </c>
      <c r="AS161" s="68">
        <f>IF(Table_BDD[[#This Row],[Position]]="","",IF(Table_BDD[[#This Row],[Conformité]]="Conforme",1,0))</f>
        <v>1</v>
      </c>
      <c r="AT161" s="68">
        <f>IF(Table_BDD[[#This Row],[Position]]="","",IF(Table_BDD[[#This Row],[Conformité]]="Non conforme",1,0))</f>
        <v>0</v>
      </c>
      <c r="AU161" s="37" t="s">
        <v>16</v>
      </c>
      <c r="AV161" s="37" t="s">
        <v>20</v>
      </c>
      <c r="AW161" s="37" t="s">
        <v>217</v>
      </c>
      <c r="AX161" s="37">
        <v>0</v>
      </c>
      <c r="AY161" s="37">
        <v>1</v>
      </c>
      <c r="AZ161" s="37">
        <v>1</v>
      </c>
      <c r="BA161" s="40" t="str">
        <f>IF(Table_BDD[[#This Row],[Position]]="","Sans objet",IF(AND(Table_BDD[[#This Row],[Type]]="sell",Table_BDD[[#This Row],[S / L]]&lt;Table_BDD[[#This Row],[Lvl Entrée]],Table_BDD[[#This Row],[Lvl Sortie]]&lt;=Table_BDD[[#This Row],[S / L]]+2,Table_BDD[[#This Row],[Lvl Sortie]]&lt;Table_BDD[[#This Row],[Lvl Entrée]]-19),"Oui",IF(AND(Table_BDD[[#This Row],[Type]]="buy",Table_BDD[[#This Row],[S / L]]&gt;Table_BDD[[#This Row],[Lvl Entrée]],Table_BDD[[#This Row],[Lvl Sortie]]&gt;=Table_BDD[[#This Row],[S / L]]-2,Table_BDD[[#This Row],[S / L]]&gt;Table_BDD[[#This Row],[Lvl Entrée]]+19),"Oui","Non")))</f>
        <v>Non</v>
      </c>
      <c r="BB161" s="40" t="str">
        <f>IF(Table_BDD[[#This Row],[Position]]="","Sans objet",IF(AND(Table_BDD[[#This Row],[Type]]="sell",Table_BDD[[#This Row],[S / L]]&lt;Table_BDD[[#This Row],[Lvl Entrée]],Table_BDD[[#This Row],[Points]]&gt;=-1),"Oui",IF(AND(Table_BDD[[#This Row],[Type]]="sell",Table_BDD[[#This Row],[S / L]]&gt;Table_BDD[[#This Row],[Lvl Entrée]]),"Non",IF(AND(Table_BDD[[#This Row],[Type]]="buy",Table_BDD[[#This Row],[S / L]]&lt;Table_BDD[[#This Row],[Lvl Entrée]]),"Non",IF(AND(Table_BDD[[#This Row],[Type]]="buy",Table_BDD[[#This Row],[S / L]]&gt;Table_BDD[[#This Row],[Lvl Entrée]],Table_BDD[[#This Row],[Points]]&gt;=-1),"Oui")))))</f>
        <v>Non</v>
      </c>
      <c r="BC161" s="40" t="str">
        <f>IF(Table_BDD[[#This Row],[Position]]="","Sans objet",IF(Table_BDD[[#This Row],[T / P]]="","Non",IF(AND(Table_BDD[[#This Row],[Type]]="sell",Table_BDD[[#This Row],[Lvl Sortie]]&lt;=Table_BDD[[#This Row],[T / P]]),"Oui",IF(AND(Table_BDD[[#This Row],[Type]]="buy",Table_BDD[[#This Row],[Lvl Sortie]]&gt;=Table_BDD[[#This Row],[T / P]]),"Oui","Non"))))</f>
        <v>Non</v>
      </c>
      <c r="BD161" s="91">
        <f t="array" ref="BD161">IFERROR(INDEX(downloadFile[#All],MATCH(Table_BDD[[#This Row],[Date]],downloadFile[[#All],[Column1]],0),2),BD160)</f>
        <v>1.079</v>
      </c>
      <c r="BE161" s="89">
        <f>IF(Table_BDD[[#This Row],[Position]]="","",IF(Table_BDD[[#This Row],[Symbole]]="UsaInd",(Table_BDD[[#This Row],[Volume]]*Table_BDD[[#This Row],[Lvl Entrée]])/(Table_BDD[[#This Row],[Equité avant trade]]*Table_BDD[[#This Row],[EUR/USD]]),IF(Table_BDD[[#This Row],[Symbole]]="Ger30",(Table_BDD[[#This Row],[Volume]]*Table_BDD[[#This Row],[Lvl Entrée]])/Table_BDD[[#This Row],[Equité avant trade]],)))</f>
        <v>14.150954650860555</v>
      </c>
      <c r="BF161" s="38">
        <f>IF(Table_BDD[[#This Row],[Position]]="","",IF(Table_BDD[[#This Row],[Conformité]]="Non conforme",0,(MROUND(3*((Table_BDD[[#This Row],[Conviction]]+Table_BDD[[#This Row],[Timing]]+Table_BDD[[#This Row],[Sortie]])+1)-2,1))))</f>
        <v>7</v>
      </c>
      <c r="BG161" s="38" t="str">
        <f>IF(Table_BDD[[#This Row],[Position]]="","",IF(Table_BDD[[#This Row],[Points]]&lt;-5,"--",IF(AND(Table_BDD[[#This Row],[Points]]&gt;=-5,Table_BDD[[#This Row],[Points]]&lt;-1.5),"-",IF(AND(Table_BDD[[#This Row],[Points]]&gt;=-1.5,Table_BDD[[#This Row],[Points]]&lt;1.5),"0",IF(AND(Table_BDD[[#This Row],[Points]]&gt;=1.5,Table_BDD[[#This Row],[Points]]&lt;=70),"+",IF(Table_BDD[[#This Row],[Points]]&gt;70,"++"))))))</f>
        <v>0</v>
      </c>
      <c r="BH161" s="37" t="str">
        <f>IF(Table_BDD[[#This Row],[Position]]="","",IF(Table_BDD[[#This Row],[Points]]&gt;0,"Gagnant",IF(Table_BDD[[#This Row],[Points]]=0,"Flat","Perdant")))</f>
        <v>Gagnant</v>
      </c>
      <c r="BI161" s="40">
        <f>IF(Table_BDD[[#This Row],[Position]]="","",IF(Table_BDD[[#This Row],[Résultat]]="Gagnant",1,0))</f>
        <v>1</v>
      </c>
      <c r="BJ161" s="40">
        <f>IF(Table_BDD[[#This Row],[Position]]="","",IF(Table_BDD[[#This Row],[Résultat]]="Perdant",1,0))</f>
        <v>0</v>
      </c>
      <c r="BK161" s="40">
        <v>29019.88</v>
      </c>
      <c r="BL161" s="145">
        <f>IF(Table_BDD[[#This Row],[T / P]]="","",Table_BDD[[#This Row],[T / P]])</f>
        <v>29067.8</v>
      </c>
      <c r="BM161" s="147"/>
      <c r="BN161" s="147" t="s">
        <v>234</v>
      </c>
      <c r="BO161" s="147" t="s">
        <v>202</v>
      </c>
      <c r="BP161" s="147" t="s">
        <v>258</v>
      </c>
      <c r="BQ161" s="127" t="s">
        <v>247</v>
      </c>
    </row>
    <row r="162" spans="1:69" x14ac:dyDescent="0.2">
      <c r="O162" s="74"/>
      <c r="Q162" s="74"/>
      <c r="R162" s="42"/>
      <c r="S162" s="74"/>
      <c r="T162" s="42"/>
      <c r="U162" s="74"/>
      <c r="V162" s="42"/>
      <c r="W162" s="74"/>
      <c r="X162" s="42"/>
      <c r="Y162" s="74"/>
      <c r="Z162" s="42"/>
      <c r="AA162" s="74"/>
      <c r="AB162" s="42"/>
      <c r="AC162" s="74"/>
      <c r="AD162" s="42"/>
      <c r="AE162" s="74"/>
      <c r="AF162" s="42"/>
      <c r="AG162" s="74"/>
      <c r="AH162" s="42"/>
      <c r="AI162" s="74"/>
      <c r="AJ162" s="42"/>
      <c r="AK162" s="42"/>
      <c r="AL162" s="74"/>
      <c r="AM162" s="42"/>
      <c r="AN162" s="74"/>
      <c r="AO162" s="42"/>
      <c r="AP162" s="74"/>
      <c r="AQ162" s="42"/>
      <c r="AR162" s="74"/>
      <c r="AS162" s="42"/>
      <c r="AU162" s="42"/>
      <c r="AV162" s="74"/>
      <c r="AW162" s="74"/>
      <c r="AX162" s="42"/>
      <c r="AY162" s="74"/>
      <c r="AZ162" s="42"/>
      <c r="BA162" s="42"/>
      <c r="BB162" s="74"/>
      <c r="BC162" s="42"/>
      <c r="BD162" s="74"/>
      <c r="BE162" s="42"/>
      <c r="BF162" s="74"/>
      <c r="BG162" s="42"/>
    </row>
  </sheetData>
  <sheetProtection formatCells="0" formatColumns="0" formatRows="0" insertColumns="0" insertRows="0" insertHyperlinks="0" deleteColumns="0" deleteRows="0" selectLockedCells="1" sort="0" autoFilter="0" pivotTables="0"/>
  <phoneticPr fontId="3" type="noConversion"/>
  <conditionalFormatting sqref="AU4:AU161">
    <cfRule type="cellIs" dxfId="159" priority="48" operator="equal">
      <formula>"Non conforme"</formula>
    </cfRule>
    <cfRule type="cellIs" dxfId="158" priority="49" operator="equal">
      <formula>"Conforme"</formula>
    </cfRule>
  </conditionalFormatting>
  <conditionalFormatting sqref="E4:E161">
    <cfRule type="cellIs" dxfId="157" priority="46" operator="greaterThan">
      <formula>(0.0005*$AA4)</formula>
    </cfRule>
    <cfRule type="cellIs" dxfId="156" priority="47" operator="lessThanOrEqual">
      <formula>(0.0005*AA4)</formula>
    </cfRule>
  </conditionalFormatting>
  <conditionalFormatting sqref="BG4:BG161">
    <cfRule type="cellIs" dxfId="155" priority="35" operator="equal">
      <formula>"+"</formula>
    </cfRule>
    <cfRule type="cellIs" dxfId="154" priority="36" operator="equal">
      <formula>"-"</formula>
    </cfRule>
    <cfRule type="cellIs" dxfId="153" priority="37" operator="equal">
      <formula>"++"</formula>
    </cfRule>
    <cfRule type="cellIs" dxfId="152" priority="39" operator="equal">
      <formula>"--"</formula>
    </cfRule>
  </conditionalFormatting>
  <conditionalFormatting sqref="BH4:BL161">
    <cfRule type="cellIs" dxfId="151" priority="33" operator="equal">
      <formula>"Perdant"</formula>
    </cfRule>
    <cfRule type="cellIs" dxfId="150" priority="34" operator="equal">
      <formula>"Gagnant"</formula>
    </cfRule>
  </conditionalFormatting>
  <conditionalFormatting sqref="M4:M161">
    <cfRule type="cellIs" dxfId="149" priority="54" operator="greaterThanOrEqual">
      <formula>0</formula>
    </cfRule>
    <cfRule type="cellIs" dxfId="148" priority="55" operator="lessThan">
      <formula>0</formula>
    </cfRule>
  </conditionalFormatting>
  <conditionalFormatting sqref="BF4:BF161">
    <cfRule type="colorScale" priority="58">
      <colorScale>
        <cfvo type="num" val="0"/>
        <cfvo type="num" val="5"/>
        <cfvo type="num" val="10"/>
        <color rgb="FFF63C40"/>
        <color rgb="FFFFE14B"/>
        <color rgb="FF4CB467"/>
      </colorScale>
    </cfRule>
  </conditionalFormatting>
  <conditionalFormatting sqref="AO4:AT161 AJ4:AK161">
    <cfRule type="cellIs" dxfId="147" priority="13" operator="greaterThanOrEqual">
      <formula>0</formula>
    </cfRule>
    <cfRule type="cellIs" dxfId="146" priority="14" operator="lessThan">
      <formula>0</formula>
    </cfRule>
  </conditionalFormatting>
  <conditionalFormatting sqref="AN4:AN161">
    <cfRule type="cellIs" dxfId="145" priority="11" operator="greaterThan">
      <formula>-0.02</formula>
    </cfRule>
    <cfRule type="cellIs" dxfId="144" priority="12" operator="lessThan">
      <formula>-0.02</formula>
    </cfRule>
  </conditionalFormatting>
  <conditionalFormatting sqref="AJ4:AK161">
    <cfRule type="cellIs" dxfId="143" priority="9" operator="greaterThanOrEqual">
      <formula>0</formula>
    </cfRule>
    <cfRule type="cellIs" dxfId="142" priority="10" operator="lessThan">
      <formula>0</formula>
    </cfRule>
  </conditionalFormatting>
  <conditionalFormatting sqref="W4:W161">
    <cfRule type="cellIs" dxfId="141" priority="7" operator="lessThanOrEqual">
      <formula>10</formula>
    </cfRule>
    <cfRule type="cellIs" dxfId="140" priority="8" operator="greaterThan">
      <formula>10</formula>
    </cfRule>
  </conditionalFormatting>
  <conditionalFormatting sqref="X4:X161">
    <cfRule type="cellIs" dxfId="139" priority="5" operator="greaterThanOrEqual">
      <formula>2*$W4</formula>
    </cfRule>
    <cfRule type="cellIs" dxfId="138" priority="6" operator="lessThan">
      <formula>2*$W4</formula>
    </cfRule>
  </conditionalFormatting>
  <conditionalFormatting sqref="Y4:Z161">
    <cfRule type="cellIs" dxfId="137" priority="3" operator="greaterThanOrEqual">
      <formula>2</formula>
    </cfRule>
    <cfRule type="cellIs" dxfId="136" priority="4" operator="lessThan">
      <formula>2</formula>
    </cfRule>
  </conditionalFormatting>
  <conditionalFormatting sqref="O4:O161">
    <cfRule type="cellIs" dxfId="135" priority="2" operator="greaterThanOrEqual">
      <formula>0</formula>
    </cfRule>
    <cfRule type="cellIs" dxfId="134" priority="1" operator="lessThan">
      <formula>0</formula>
    </cfRule>
  </conditionalFormatting>
  <dataValidations count="1">
    <dataValidation showInputMessage="1" showErrorMessage="1" sqref="BD163:BE1048576 BD3:BE161" xr:uid="{1E2124E9-45AA-4B1D-8E0E-3FEAB6E3F9A3}"/>
  </dataValidations>
  <pageMargins left="0.7" right="0.7" top="0.75" bottom="0.75" header="0.3" footer="0.3"/>
  <pageSetup paperSize="9" orientation="portrait" horizontalDpi="1200" verticalDpi="1200" r:id="rId1"/>
  <tableParts count="1">
    <tablePart r:id="rId2"/>
  </tableParts>
  <extLst>
    <ext xmlns:x14="http://schemas.microsoft.com/office/spreadsheetml/2009/9/main" uri="{CCE6A557-97BC-4b89-ADB6-D9C93CAAB3DF}">
      <x14:dataValidations xmlns:xm="http://schemas.microsoft.com/office/excel/2006/main" count="12">
        <x14:dataValidation type="list" showInputMessage="1" showErrorMessage="1" xr:uid="{7402F9FF-8721-4794-BF94-E32217EEDF05}">
          <x14:formula1>
            <xm:f>Listes!$C$2:$C$4</xm:f>
          </x14:formula1>
          <xm:sqref>AV4:AV161</xm:sqref>
        </x14:dataValidation>
        <x14:dataValidation type="list" showInputMessage="1" showErrorMessage="1" xr:uid="{7E28598D-DB39-4AA1-8B44-4362F70DBE8F}">
          <x14:formula1>
            <xm:f>Listes!$B$2:$B$4</xm:f>
          </x14:formula1>
          <xm:sqref>AU4:AU161</xm:sqref>
        </x14:dataValidation>
        <x14:dataValidation type="list" showInputMessage="1" showErrorMessage="1" xr:uid="{DA5A9399-4271-45FD-BF93-1760019A1DEA}">
          <x14:formula1>
            <xm:f>Listes!$E$2:$E$4</xm:f>
          </x14:formula1>
          <xm:sqref>AX4:AX161</xm:sqref>
        </x14:dataValidation>
        <x14:dataValidation type="list" showInputMessage="1" showErrorMessage="1" xr:uid="{8B97B896-1664-4F4C-A7EA-0CDE80DC2F48}">
          <x14:formula1>
            <xm:f>Listes!$F$2:$F$4</xm:f>
          </x14:formula1>
          <xm:sqref>AY4:AY161</xm:sqref>
        </x14:dataValidation>
        <x14:dataValidation type="list" showInputMessage="1" showErrorMessage="1" xr:uid="{39014AF7-8A60-4DC4-9516-134D4BF0FE13}">
          <x14:formula1>
            <xm:f>Listes!$G$2:$G$4</xm:f>
          </x14:formula1>
          <xm:sqref>AZ4:AZ161</xm:sqref>
        </x14:dataValidation>
        <x14:dataValidation type="list" showInputMessage="1" showErrorMessage="1" xr:uid="{BFEDE7A1-7F4F-496B-B030-441B74202554}">
          <x14:formula1>
            <xm:f>Listes!$I$2:$I$5</xm:f>
          </x14:formula1>
          <xm:sqref>BB4:BB161</xm:sqref>
        </x14:dataValidation>
        <x14:dataValidation type="list" showInputMessage="1" showErrorMessage="1" xr:uid="{5DCA1222-37D5-44AA-BD91-96E3BCC87D1A}">
          <x14:formula1>
            <xm:f>Listes!$J$2:$J$5</xm:f>
          </x14:formula1>
          <xm:sqref>BC4:BC161</xm:sqref>
        </x14:dataValidation>
        <x14:dataValidation type="list" showInputMessage="1" showErrorMessage="1" xr:uid="{A414C96B-4EA5-4EB5-9986-1D2BFB02943F}">
          <x14:formula1>
            <xm:f>Listes!$D$2:$D$5</xm:f>
          </x14:formula1>
          <xm:sqref>AW4:AW161</xm:sqref>
        </x14:dataValidation>
        <x14:dataValidation type="list" allowBlank="1" showInputMessage="1" showErrorMessage="1" xr:uid="{56EAB615-984C-4CA7-8F56-0BB2FED56185}">
          <x14:formula1>
            <xm:f>Listes!$L$2:$L$26</xm:f>
          </x14:formula1>
          <xm:sqref>BQ4:BQ161</xm:sqref>
        </x14:dataValidation>
        <x14:dataValidation type="list" showInputMessage="1" showErrorMessage="1" xr:uid="{1293C77C-3B19-409A-ABCD-DB4F857F8343}">
          <x14:formula1>
            <xm:f>Listes!$H$2:$H$5</xm:f>
          </x14:formula1>
          <xm:sqref>BA4:BA161</xm:sqref>
        </x14:dataValidation>
        <x14:dataValidation type="list" allowBlank="1" showInputMessage="1" showErrorMessage="1" xr:uid="{DA557396-0574-4466-BAB4-9BB698395891}">
          <x14:formula1>
            <xm:f>Listes!$M$2:$M$11</xm:f>
          </x14:formula1>
          <xm:sqref>BN4:BN161</xm:sqref>
        </x14:dataValidation>
        <x14:dataValidation type="list" allowBlank="1" showInputMessage="1" showErrorMessage="1" xr:uid="{E5874FD0-D831-4274-8870-481FCAB759F9}">
          <x14:formula1>
            <xm:f>Listes!$N$2:$N$5</xm:f>
          </x14:formula1>
          <xm:sqref>BO4:BO161</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54EF30A-C80D-4D54-8909-0DF426B0A390}">
  <sheetPr codeName="Feuil3"/>
  <dimension ref="A1:C22"/>
  <sheetViews>
    <sheetView workbookViewId="0">
      <selection activeCell="A16" sqref="A16"/>
    </sheetView>
  </sheetViews>
  <sheetFormatPr baseColWidth="10" defaultRowHeight="14.25" x14ac:dyDescent="0.2"/>
  <cols>
    <col min="1" max="1" width="21.625" bestFit="1" customWidth="1"/>
    <col min="2" max="2" width="8.5" bestFit="1" customWidth="1"/>
    <col min="3" max="3" width="8" bestFit="1" customWidth="1"/>
    <col min="4" max="4" width="24.625" bestFit="1" customWidth="1"/>
  </cols>
  <sheetData>
    <row r="1" spans="1:3" x14ac:dyDescent="0.2">
      <c r="A1" s="3" t="s">
        <v>65</v>
      </c>
      <c r="B1" t="s">
        <v>59</v>
      </c>
    </row>
    <row r="2" spans="1:3" x14ac:dyDescent="0.2">
      <c r="A2" s="3" t="s">
        <v>66</v>
      </c>
      <c r="B2" t="s">
        <v>59</v>
      </c>
    </row>
    <row r="3" spans="1:3" x14ac:dyDescent="0.2">
      <c r="A3" s="3" t="s">
        <v>67</v>
      </c>
      <c r="B3" t="s">
        <v>59</v>
      </c>
    </row>
    <row r="4" spans="1:3" x14ac:dyDescent="0.2">
      <c r="A4" s="3" t="s">
        <v>106</v>
      </c>
      <c r="B4" t="s">
        <v>59</v>
      </c>
    </row>
    <row r="5" spans="1:3" x14ac:dyDescent="0.2">
      <c r="A5" s="3" t="s">
        <v>1</v>
      </c>
      <c r="B5" t="s">
        <v>59</v>
      </c>
    </row>
    <row r="7" spans="1:3" x14ac:dyDescent="0.2">
      <c r="A7" s="3" t="s">
        <v>44</v>
      </c>
      <c r="B7" t="s">
        <v>87</v>
      </c>
      <c r="C7" t="s">
        <v>88</v>
      </c>
    </row>
    <row r="8" spans="1:3" x14ac:dyDescent="0.2">
      <c r="A8" s="96">
        <v>43864</v>
      </c>
      <c r="B8" s="6">
        <v>1.0029999999999973E-2</v>
      </c>
      <c r="C8" s="6">
        <v>0</v>
      </c>
    </row>
    <row r="9" spans="1:3" x14ac:dyDescent="0.2">
      <c r="A9" s="96">
        <v>43865</v>
      </c>
      <c r="B9" s="6">
        <v>1.8316287635019839E-3</v>
      </c>
      <c r="C9" s="6">
        <v>0</v>
      </c>
    </row>
    <row r="10" spans="1:3" x14ac:dyDescent="0.2">
      <c r="A10" s="96">
        <v>43866</v>
      </c>
      <c r="B10" s="6">
        <v>5.6824919950982334E-3</v>
      </c>
      <c r="C10" s="6">
        <v>0</v>
      </c>
    </row>
    <row r="11" spans="1:3" x14ac:dyDescent="0.2">
      <c r="A11" s="96">
        <v>43867</v>
      </c>
      <c r="B11" s="6">
        <v>1.5044760865933648E-2</v>
      </c>
      <c r="C11" s="6">
        <v>0</v>
      </c>
    </row>
    <row r="12" spans="1:3" x14ac:dyDescent="0.2">
      <c r="A12" s="96">
        <v>43868</v>
      </c>
      <c r="B12" s="6">
        <v>1.4473251108486499E-2</v>
      </c>
      <c r="C12" s="6">
        <v>0</v>
      </c>
    </row>
    <row r="13" spans="1:3" x14ac:dyDescent="0.2">
      <c r="A13" s="96">
        <v>43871</v>
      </c>
      <c r="B13" s="6">
        <v>0</v>
      </c>
      <c r="C13" s="6">
        <v>-6.0655221444998846E-2</v>
      </c>
    </row>
    <row r="14" spans="1:3" x14ac:dyDescent="0.2">
      <c r="A14" s="96">
        <v>43872</v>
      </c>
      <c r="B14" s="6">
        <v>0</v>
      </c>
      <c r="C14" s="6">
        <v>-6.4226428128777976E-2</v>
      </c>
    </row>
    <row r="15" spans="1:3" x14ac:dyDescent="0.2">
      <c r="A15" s="96">
        <v>43873</v>
      </c>
      <c r="B15" s="6">
        <v>0</v>
      </c>
      <c r="C15" s="6">
        <v>-4.6682806613754056E-4</v>
      </c>
    </row>
    <row r="16" spans="1:3" x14ac:dyDescent="0.2">
      <c r="A16" s="96">
        <v>43874</v>
      </c>
      <c r="B16" s="6">
        <v>0</v>
      </c>
      <c r="C16" s="6">
        <v>-5.7381500629969197E-2</v>
      </c>
    </row>
    <row r="17" spans="1:3" x14ac:dyDescent="0.2">
      <c r="A17" s="96">
        <v>43875</v>
      </c>
      <c r="B17" s="6">
        <v>0</v>
      </c>
      <c r="C17" s="6">
        <v>-0.10697701215647869</v>
      </c>
    </row>
    <row r="18" spans="1:3" x14ac:dyDescent="0.2">
      <c r="A18" s="96">
        <v>43878</v>
      </c>
      <c r="B18" s="6">
        <v>5.4618650081934325E-2</v>
      </c>
      <c r="C18" s="6">
        <v>0</v>
      </c>
    </row>
    <row r="19" spans="1:3" x14ac:dyDescent="0.2">
      <c r="A19" s="96">
        <v>43879</v>
      </c>
      <c r="B19" s="6">
        <v>1.7593657474245718E-2</v>
      </c>
      <c r="C19" s="6">
        <v>0</v>
      </c>
    </row>
    <row r="20" spans="1:3" x14ac:dyDescent="0.2">
      <c r="A20" s="96">
        <v>43880</v>
      </c>
      <c r="B20" s="6">
        <v>0</v>
      </c>
      <c r="C20" s="6">
        <v>0</v>
      </c>
    </row>
    <row r="21" spans="1:3" x14ac:dyDescent="0.2">
      <c r="A21" s="96">
        <v>43881</v>
      </c>
      <c r="B21" s="6">
        <v>2.8374933871976173E-2</v>
      </c>
      <c r="C21" s="6">
        <v>0</v>
      </c>
    </row>
    <row r="22" spans="1:3" x14ac:dyDescent="0.2">
      <c r="A22" s="96">
        <v>43882</v>
      </c>
      <c r="B22" s="6">
        <v>5.0273581817325671E-4</v>
      </c>
      <c r="C22" s="6">
        <v>0</v>
      </c>
    </row>
  </sheetData>
  <pageMargins left="0.7" right="0.7" top="0.75" bottom="0.75" header="0.3" footer="0.3"/>
  <pageSetup paperSize="9" orientation="portrait" horizontalDpi="1200" verticalDpi="1200"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AF53F90-744F-4A12-A040-4726B87924C9}">
  <sheetPr codeName="Feuil4"/>
  <dimension ref="A1:L14"/>
  <sheetViews>
    <sheetView workbookViewId="0">
      <selection activeCell="T26" sqref="T26"/>
    </sheetView>
  </sheetViews>
  <sheetFormatPr baseColWidth="10" defaultRowHeight="14.25" x14ac:dyDescent="0.2"/>
  <cols>
    <col min="1" max="1" width="21.625" bestFit="1" customWidth="1"/>
    <col min="2" max="2" width="25.75" bestFit="1" customWidth="1"/>
    <col min="3" max="5" width="4.25" bestFit="1" customWidth="1"/>
    <col min="6" max="6" width="5.5" bestFit="1" customWidth="1"/>
    <col min="7" max="7" width="13.5" bestFit="1" customWidth="1"/>
  </cols>
  <sheetData>
    <row r="1" spans="1:12" x14ac:dyDescent="0.2">
      <c r="A1" s="3" t="s">
        <v>65</v>
      </c>
      <c r="B1" t="s">
        <v>59</v>
      </c>
    </row>
    <row r="2" spans="1:12" x14ac:dyDescent="0.2">
      <c r="A2" s="3" t="s">
        <v>66</v>
      </c>
      <c r="B2" t="s">
        <v>59</v>
      </c>
      <c r="L2">
        <f>IF('Général - Profit Factor'!H2:H3="","",ROUND(GETPIVOTDATA("Note du trade",$A$1),1))</f>
        <v>0.2</v>
      </c>
    </row>
    <row r="3" spans="1:12" x14ac:dyDescent="0.2">
      <c r="A3" s="3" t="s">
        <v>67</v>
      </c>
      <c r="B3" t="s">
        <v>59</v>
      </c>
    </row>
    <row r="4" spans="1:12" x14ac:dyDescent="0.2">
      <c r="A4" s="3" t="s">
        <v>106</v>
      </c>
      <c r="B4" t="s">
        <v>59</v>
      </c>
    </row>
    <row r="5" spans="1:12" x14ac:dyDescent="0.2">
      <c r="A5" s="3" t="s">
        <v>42</v>
      </c>
      <c r="B5" t="s">
        <v>59</v>
      </c>
    </row>
    <row r="6" spans="1:12" x14ac:dyDescent="0.2">
      <c r="A6" s="3" t="s">
        <v>1</v>
      </c>
      <c r="B6" t="s">
        <v>59</v>
      </c>
    </row>
    <row r="8" spans="1:12" x14ac:dyDescent="0.2">
      <c r="A8" s="3" t="s">
        <v>44</v>
      </c>
      <c r="B8" t="s">
        <v>62</v>
      </c>
    </row>
    <row r="9" spans="1:12" x14ac:dyDescent="0.2">
      <c r="A9" s="4">
        <v>0</v>
      </c>
      <c r="B9" s="9">
        <v>0</v>
      </c>
    </row>
    <row r="10" spans="1:12" x14ac:dyDescent="0.2">
      <c r="A10" s="4">
        <v>4</v>
      </c>
      <c r="B10" s="9">
        <v>4</v>
      </c>
    </row>
    <row r="11" spans="1:12" x14ac:dyDescent="0.2">
      <c r="A11" s="4">
        <v>7</v>
      </c>
      <c r="B11" s="9">
        <v>7</v>
      </c>
    </row>
    <row r="12" spans="1:12" x14ac:dyDescent="0.2">
      <c r="A12" s="4">
        <v>10</v>
      </c>
      <c r="B12" s="9">
        <v>10</v>
      </c>
    </row>
    <row r="13" spans="1:12" x14ac:dyDescent="0.2">
      <c r="A13" s="4"/>
      <c r="B13" s="9" t="e">
        <v>#DIV/0!</v>
      </c>
    </row>
    <row r="14" spans="1:12" x14ac:dyDescent="0.2">
      <c r="A14" s="4" t="s">
        <v>45</v>
      </c>
      <c r="B14" s="9">
        <v>0.17834394904458598</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73CEF44-48B4-4692-BA04-29ECCB9B13A0}">
  <sheetPr codeName="Feuil5"/>
  <dimension ref="A1:B15"/>
  <sheetViews>
    <sheetView workbookViewId="0">
      <selection activeCell="A2" sqref="A2"/>
    </sheetView>
  </sheetViews>
  <sheetFormatPr baseColWidth="10" defaultRowHeight="14.25" x14ac:dyDescent="0.2"/>
  <cols>
    <col min="1" max="1" width="21.625" bestFit="1" customWidth="1"/>
    <col min="2" max="2" width="19.75" bestFit="1" customWidth="1"/>
    <col min="3" max="10" width="7.375" bestFit="1" customWidth="1"/>
    <col min="11" max="11" width="8.375" bestFit="1" customWidth="1"/>
    <col min="12" max="13" width="7.375" bestFit="1" customWidth="1"/>
    <col min="14" max="14" width="8.375" bestFit="1" customWidth="1"/>
    <col min="15" max="15" width="7.375" bestFit="1" customWidth="1"/>
    <col min="16" max="16" width="7.75" bestFit="1" customWidth="1"/>
    <col min="17" max="17" width="13.5" bestFit="1" customWidth="1"/>
    <col min="18" max="18" width="9.75" bestFit="1" customWidth="1"/>
    <col min="19" max="21" width="13.5" bestFit="1" customWidth="1"/>
    <col min="22" max="22" width="19.75" bestFit="1" customWidth="1"/>
    <col min="23" max="23" width="19.875" bestFit="1" customWidth="1"/>
    <col min="24" max="24" width="19.75" bestFit="1" customWidth="1"/>
    <col min="25" max="25" width="19.875" bestFit="1" customWidth="1"/>
    <col min="26" max="26" width="19.75" bestFit="1" customWidth="1"/>
    <col min="27" max="27" width="19.875" bestFit="1" customWidth="1"/>
    <col min="28" max="28" width="19.75" bestFit="1" customWidth="1"/>
    <col min="29" max="29" width="19.875" bestFit="1" customWidth="1"/>
    <col min="30" max="30" width="19.75" bestFit="1" customWidth="1"/>
    <col min="31" max="31" width="19.875" bestFit="1" customWidth="1"/>
    <col min="32" max="32" width="25.125" bestFit="1" customWidth="1"/>
    <col min="33" max="33" width="25.25" bestFit="1" customWidth="1"/>
    <col min="34" max="34" width="19.75" bestFit="1" customWidth="1"/>
    <col min="35" max="35" width="19.875" bestFit="1" customWidth="1"/>
    <col min="36" max="36" width="25.125" bestFit="1" customWidth="1"/>
    <col min="37" max="37" width="25.25" bestFit="1" customWidth="1"/>
  </cols>
  <sheetData>
    <row r="1" spans="1:2" x14ac:dyDescent="0.2">
      <c r="A1" s="3" t="s">
        <v>65</v>
      </c>
      <c r="B1" t="s">
        <v>59</v>
      </c>
    </row>
    <row r="2" spans="1:2" x14ac:dyDescent="0.2">
      <c r="A2" s="3" t="s">
        <v>66</v>
      </c>
      <c r="B2" t="s">
        <v>59</v>
      </c>
    </row>
    <row r="3" spans="1:2" x14ac:dyDescent="0.2">
      <c r="A3" s="3" t="s">
        <v>67</v>
      </c>
      <c r="B3" t="s">
        <v>59</v>
      </c>
    </row>
    <row r="4" spans="1:2" x14ac:dyDescent="0.2">
      <c r="A4" s="3" t="s">
        <v>106</v>
      </c>
      <c r="B4" t="s">
        <v>59</v>
      </c>
    </row>
    <row r="5" spans="1:2" x14ac:dyDescent="0.2">
      <c r="A5" s="3" t="s">
        <v>42</v>
      </c>
      <c r="B5" t="s">
        <v>59</v>
      </c>
    </row>
    <row r="6" spans="1:2" x14ac:dyDescent="0.2">
      <c r="A6" s="3" t="s">
        <v>1</v>
      </c>
      <c r="B6" t="s">
        <v>59</v>
      </c>
    </row>
    <row r="8" spans="1:2" x14ac:dyDescent="0.2">
      <c r="A8" s="3" t="s">
        <v>44</v>
      </c>
      <c r="B8" t="s">
        <v>53</v>
      </c>
    </row>
    <row r="9" spans="1:2" x14ac:dyDescent="0.2">
      <c r="A9" s="4" t="s">
        <v>51</v>
      </c>
      <c r="B9" s="6">
        <v>0.23417721518987342</v>
      </c>
    </row>
    <row r="10" spans="1:2" x14ac:dyDescent="0.2">
      <c r="A10" s="4" t="s">
        <v>52</v>
      </c>
      <c r="B10" s="6">
        <v>0.75316455696202533</v>
      </c>
    </row>
    <row r="11" spans="1:2" x14ac:dyDescent="0.2">
      <c r="A11" s="4" t="s">
        <v>250</v>
      </c>
      <c r="B11" s="6">
        <v>6.3291139240506328E-3</v>
      </c>
    </row>
    <row r="12" spans="1:2" x14ac:dyDescent="0.2">
      <c r="A12" s="4"/>
      <c r="B12" s="6">
        <v>6.3291139240506328E-3</v>
      </c>
    </row>
    <row r="14" spans="1:2" x14ac:dyDescent="0.2">
      <c r="A14" s="7" t="s">
        <v>51</v>
      </c>
      <c r="B14" s="12">
        <f>IFERROR(GETPIVOTDATA("Résultat",$A$3,"Résultat","Gagnant"),0)</f>
        <v>0.23417721518987342</v>
      </c>
    </row>
    <row r="15" spans="1:2" x14ac:dyDescent="0.2">
      <c r="A15" s="7" t="s">
        <v>52</v>
      </c>
      <c r="B15" s="8">
        <f>IFERROR(GETPIVOTDATA("Résultat",$A$3,"Résultat","Perdant"),0)</f>
        <v>0.75316455696202533</v>
      </c>
    </row>
  </sheetData>
  <pageMargins left="0.7" right="0.7" top="0.75" bottom="0.75" header="0.3" footer="0.3"/>
  <pageSetup paperSize="9" orientation="portrait" horizontalDpi="1200" verticalDpi="1200"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672E992-9AB6-44A7-87A2-B632D5AFB4EF}">
  <sheetPr codeName="Feuil6"/>
  <dimension ref="A1:H23"/>
  <sheetViews>
    <sheetView workbookViewId="0">
      <selection activeCell="F4" sqref="F4"/>
    </sheetView>
  </sheetViews>
  <sheetFormatPr baseColWidth="10" defaultRowHeight="14.25" x14ac:dyDescent="0.2"/>
  <cols>
    <col min="1" max="1" width="21.625" bestFit="1" customWidth="1"/>
    <col min="2" max="2" width="20.25" bestFit="1" customWidth="1"/>
    <col min="3" max="3" width="24.375" bestFit="1" customWidth="1"/>
    <col min="4" max="4" width="22.375" bestFit="1" customWidth="1"/>
    <col min="5" max="5" width="29.75" bestFit="1" customWidth="1"/>
    <col min="6" max="15" width="7.25" bestFit="1" customWidth="1"/>
    <col min="16" max="16" width="9.25" bestFit="1" customWidth="1"/>
    <col min="17" max="17" width="7.75" bestFit="1" customWidth="1"/>
    <col min="18" max="18" width="9.75" bestFit="1" customWidth="1"/>
    <col min="19" max="19" width="16.875" bestFit="1" customWidth="1"/>
    <col min="20" max="20" width="11.375" bestFit="1" customWidth="1"/>
    <col min="21" max="21" width="13.5" bestFit="1" customWidth="1"/>
  </cols>
  <sheetData>
    <row r="1" spans="1:8" x14ac:dyDescent="0.2">
      <c r="A1" s="3" t="s">
        <v>1</v>
      </c>
      <c r="B1" t="s">
        <v>59</v>
      </c>
      <c r="F1" s="7"/>
    </row>
    <row r="2" spans="1:8" x14ac:dyDescent="0.2">
      <c r="A2" s="3" t="s">
        <v>65</v>
      </c>
      <c r="B2" t="s">
        <v>59</v>
      </c>
      <c r="F2" s="58" t="s">
        <v>17</v>
      </c>
      <c r="G2">
        <f>GETPIVOTDATA("Somme de Non conforme",$A$7)</f>
        <v>153</v>
      </c>
      <c r="H2" s="19">
        <f>IFERROR(G2/G4,0)</f>
        <v>0.97452229299363058</v>
      </c>
    </row>
    <row r="3" spans="1:8" x14ac:dyDescent="0.2">
      <c r="A3" s="3" t="s">
        <v>66</v>
      </c>
      <c r="B3" t="s">
        <v>59</v>
      </c>
      <c r="F3" t="s">
        <v>16</v>
      </c>
      <c r="G3">
        <f>GETPIVOTDATA("Somme de Conforme",$A$7)</f>
        <v>4</v>
      </c>
      <c r="H3" s="19">
        <f>G3/G4</f>
        <v>2.5477707006369428E-2</v>
      </c>
    </row>
    <row r="4" spans="1:8" x14ac:dyDescent="0.2">
      <c r="A4" s="3" t="s">
        <v>106</v>
      </c>
      <c r="B4" t="s">
        <v>59</v>
      </c>
      <c r="G4">
        <f>GETPIVOTDATA("Nombre de Conformité",$A$7)</f>
        <v>157</v>
      </c>
    </row>
    <row r="5" spans="1:8" x14ac:dyDescent="0.2">
      <c r="A5" s="3" t="s">
        <v>67</v>
      </c>
      <c r="B5" t="s">
        <v>59</v>
      </c>
    </row>
    <row r="7" spans="1:8" x14ac:dyDescent="0.2">
      <c r="A7" s="3" t="s">
        <v>44</v>
      </c>
      <c r="B7" t="s">
        <v>178</v>
      </c>
      <c r="C7" t="s">
        <v>179</v>
      </c>
      <c r="D7" t="s">
        <v>46</v>
      </c>
    </row>
    <row r="8" spans="1:8" x14ac:dyDescent="0.2">
      <c r="A8" s="96">
        <v>43864</v>
      </c>
      <c r="B8" s="5">
        <v>0</v>
      </c>
      <c r="C8" s="5">
        <v>5</v>
      </c>
      <c r="D8" s="5">
        <v>5</v>
      </c>
    </row>
    <row r="9" spans="1:8" x14ac:dyDescent="0.2">
      <c r="A9" s="96">
        <v>43865</v>
      </c>
      <c r="B9" s="5">
        <v>0</v>
      </c>
      <c r="C9" s="5">
        <v>19</v>
      </c>
      <c r="D9" s="5">
        <v>19</v>
      </c>
    </row>
    <row r="10" spans="1:8" x14ac:dyDescent="0.2">
      <c r="A10" s="96">
        <v>43866</v>
      </c>
      <c r="B10" s="5">
        <v>0</v>
      </c>
      <c r="C10" s="5">
        <v>20</v>
      </c>
      <c r="D10" s="5">
        <v>20</v>
      </c>
    </row>
    <row r="11" spans="1:8" x14ac:dyDescent="0.2">
      <c r="A11" s="96">
        <v>43867</v>
      </c>
      <c r="B11" s="5">
        <v>0</v>
      </c>
      <c r="C11" s="5">
        <v>12</v>
      </c>
      <c r="D11" s="5">
        <v>12</v>
      </c>
    </row>
    <row r="12" spans="1:8" x14ac:dyDescent="0.2">
      <c r="A12" s="96">
        <v>43868</v>
      </c>
      <c r="B12" s="5">
        <v>0</v>
      </c>
      <c r="C12" s="5">
        <v>3</v>
      </c>
      <c r="D12" s="5">
        <v>3</v>
      </c>
    </row>
    <row r="13" spans="1:8" x14ac:dyDescent="0.2">
      <c r="A13" s="96">
        <v>43871</v>
      </c>
      <c r="B13" s="5">
        <v>0</v>
      </c>
      <c r="C13" s="5">
        <v>19</v>
      </c>
      <c r="D13" s="5">
        <v>19</v>
      </c>
    </row>
    <row r="14" spans="1:8" x14ac:dyDescent="0.2">
      <c r="A14" s="96">
        <v>43872</v>
      </c>
      <c r="B14" s="5">
        <v>0</v>
      </c>
      <c r="C14" s="5">
        <v>14</v>
      </c>
      <c r="D14" s="5">
        <v>14</v>
      </c>
    </row>
    <row r="15" spans="1:8" x14ac:dyDescent="0.2">
      <c r="A15" s="96">
        <v>43873</v>
      </c>
      <c r="B15" s="5">
        <v>0</v>
      </c>
      <c r="C15" s="5">
        <v>6</v>
      </c>
      <c r="D15" s="5">
        <v>6</v>
      </c>
    </row>
    <row r="16" spans="1:8" x14ac:dyDescent="0.2">
      <c r="A16" s="96">
        <v>43874</v>
      </c>
      <c r="B16" s="5">
        <v>0</v>
      </c>
      <c r="C16" s="5">
        <v>19</v>
      </c>
      <c r="D16" s="5">
        <v>19</v>
      </c>
    </row>
    <row r="17" spans="1:4" x14ac:dyDescent="0.2">
      <c r="A17" s="96">
        <v>43875</v>
      </c>
      <c r="B17" s="5">
        <v>0</v>
      </c>
      <c r="C17" s="5">
        <v>26</v>
      </c>
      <c r="D17" s="5">
        <v>26</v>
      </c>
    </row>
    <row r="18" spans="1:4" x14ac:dyDescent="0.2">
      <c r="A18" s="96">
        <v>43878</v>
      </c>
      <c r="B18" s="5">
        <v>0</v>
      </c>
      <c r="C18" s="5">
        <v>2</v>
      </c>
      <c r="D18" s="5">
        <v>2</v>
      </c>
    </row>
    <row r="19" spans="1:4" x14ac:dyDescent="0.2">
      <c r="A19" s="96">
        <v>43879</v>
      </c>
      <c r="B19" s="5">
        <v>1</v>
      </c>
      <c r="C19" s="5">
        <v>8</v>
      </c>
      <c r="D19" s="5">
        <v>9</v>
      </c>
    </row>
    <row r="20" spans="1:4" x14ac:dyDescent="0.2">
      <c r="A20" s="96">
        <v>43880</v>
      </c>
      <c r="B20" s="5">
        <v>0</v>
      </c>
      <c r="C20" s="5">
        <v>0</v>
      </c>
      <c r="D20" s="5"/>
    </row>
    <row r="21" spans="1:4" x14ac:dyDescent="0.2">
      <c r="A21" s="96">
        <v>43881</v>
      </c>
      <c r="B21" s="5">
        <v>2</v>
      </c>
      <c r="C21" s="5">
        <v>0</v>
      </c>
      <c r="D21" s="5">
        <v>2</v>
      </c>
    </row>
    <row r="22" spans="1:4" x14ac:dyDescent="0.2">
      <c r="A22" s="96">
        <v>43882</v>
      </c>
      <c r="B22" s="5">
        <v>1</v>
      </c>
      <c r="C22" s="5">
        <v>0</v>
      </c>
      <c r="D22" s="5">
        <v>1</v>
      </c>
    </row>
    <row r="23" spans="1:4" x14ac:dyDescent="0.2">
      <c r="A23" s="96" t="s">
        <v>45</v>
      </c>
      <c r="B23" s="5">
        <v>4</v>
      </c>
      <c r="C23" s="5">
        <v>153</v>
      </c>
      <c r="D23" s="5">
        <v>157</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65ED0CC-EE99-425C-B15A-DE2C16575454}">
  <sheetPr codeName="Feuil7"/>
  <dimension ref="A1:C23"/>
  <sheetViews>
    <sheetView zoomScaleNormal="100" workbookViewId="0">
      <selection activeCell="A7" sqref="A7"/>
    </sheetView>
  </sheetViews>
  <sheetFormatPr baseColWidth="10" defaultRowHeight="14.25" x14ac:dyDescent="0.2"/>
  <cols>
    <col min="1" max="1" width="21.625" bestFit="1" customWidth="1"/>
    <col min="2" max="2" width="19.75" bestFit="1" customWidth="1"/>
    <col min="3" max="4" width="19" bestFit="1" customWidth="1"/>
  </cols>
  <sheetData>
    <row r="1" spans="1:3" x14ac:dyDescent="0.2">
      <c r="A1" s="3" t="s">
        <v>65</v>
      </c>
      <c r="B1" t="s">
        <v>59</v>
      </c>
    </row>
    <row r="2" spans="1:3" x14ac:dyDescent="0.2">
      <c r="A2" s="3" t="s">
        <v>66</v>
      </c>
      <c r="B2" t="s">
        <v>59</v>
      </c>
    </row>
    <row r="3" spans="1:3" x14ac:dyDescent="0.2">
      <c r="A3" s="3" t="s">
        <v>67</v>
      </c>
      <c r="B3" t="s">
        <v>59</v>
      </c>
    </row>
    <row r="4" spans="1:3" x14ac:dyDescent="0.2">
      <c r="A4" s="3" t="s">
        <v>106</v>
      </c>
      <c r="B4" t="s">
        <v>59</v>
      </c>
    </row>
    <row r="5" spans="1:3" x14ac:dyDescent="0.2">
      <c r="A5" s="3" t="s">
        <v>1</v>
      </c>
      <c r="B5" t="s">
        <v>59</v>
      </c>
    </row>
    <row r="7" spans="1:3" x14ac:dyDescent="0.2">
      <c r="A7" s="3" t="s">
        <v>44</v>
      </c>
      <c r="B7" t="s">
        <v>57</v>
      </c>
      <c r="C7" t="s">
        <v>58</v>
      </c>
    </row>
    <row r="8" spans="1:3" x14ac:dyDescent="0.2">
      <c r="A8" s="96">
        <v>43864</v>
      </c>
      <c r="B8" s="10">
        <v>22.1</v>
      </c>
      <c r="C8" s="10">
        <v>0</v>
      </c>
    </row>
    <row r="9" spans="1:3" x14ac:dyDescent="0.2">
      <c r="A9" s="96">
        <v>43865</v>
      </c>
      <c r="B9" s="10">
        <v>4.0999999999999943</v>
      </c>
      <c r="C9" s="10">
        <v>0</v>
      </c>
    </row>
    <row r="10" spans="1:3" x14ac:dyDescent="0.2">
      <c r="A10" s="96">
        <v>43866</v>
      </c>
      <c r="B10" s="10">
        <v>12.500000000000028</v>
      </c>
      <c r="C10" s="10">
        <v>0</v>
      </c>
    </row>
    <row r="11" spans="1:3" x14ac:dyDescent="0.2">
      <c r="A11" s="96">
        <v>43867</v>
      </c>
      <c r="B11" s="10">
        <v>33.300000000000011</v>
      </c>
      <c r="C11" s="10">
        <v>0</v>
      </c>
    </row>
    <row r="12" spans="1:3" x14ac:dyDescent="0.2">
      <c r="A12" s="96">
        <v>43868</v>
      </c>
      <c r="B12" s="10">
        <v>32.799999999999997</v>
      </c>
      <c r="C12" s="10">
        <v>0</v>
      </c>
    </row>
    <row r="13" spans="1:3" x14ac:dyDescent="0.2">
      <c r="A13" s="96">
        <v>43871</v>
      </c>
      <c r="B13" s="10">
        <v>0</v>
      </c>
      <c r="C13" s="10">
        <v>-138.79999999999998</v>
      </c>
    </row>
    <row r="14" spans="1:3" x14ac:dyDescent="0.2">
      <c r="A14" s="96">
        <v>43872</v>
      </c>
      <c r="B14" s="10">
        <v>0</v>
      </c>
      <c r="C14" s="10">
        <v>-138.19999999999999</v>
      </c>
    </row>
    <row r="15" spans="1:3" x14ac:dyDescent="0.2">
      <c r="A15" s="96">
        <v>43873</v>
      </c>
      <c r="B15" s="10">
        <v>0</v>
      </c>
      <c r="C15" s="10">
        <v>-0.99999999999999578</v>
      </c>
    </row>
    <row r="16" spans="1:3" x14ac:dyDescent="0.2">
      <c r="A16" s="96">
        <v>43874</v>
      </c>
      <c r="B16" s="10">
        <v>0</v>
      </c>
      <c r="C16" s="10">
        <v>-114.50000000000001</v>
      </c>
    </row>
    <row r="17" spans="1:3" x14ac:dyDescent="0.2">
      <c r="A17" s="96">
        <v>43875</v>
      </c>
      <c r="B17" s="10">
        <v>0</v>
      </c>
      <c r="C17" s="10">
        <v>-209.69999999999993</v>
      </c>
    </row>
    <row r="18" spans="1:3" x14ac:dyDescent="0.2">
      <c r="A18" s="96">
        <v>43878</v>
      </c>
      <c r="B18" s="10">
        <v>110.9</v>
      </c>
      <c r="C18" s="10">
        <v>0</v>
      </c>
    </row>
    <row r="19" spans="1:3" x14ac:dyDescent="0.2">
      <c r="A19" s="96">
        <v>43879</v>
      </c>
      <c r="B19" s="10">
        <v>34.399999999999991</v>
      </c>
      <c r="C19" s="10">
        <v>0</v>
      </c>
    </row>
    <row r="20" spans="1:3" x14ac:dyDescent="0.2">
      <c r="A20" s="96">
        <v>43880</v>
      </c>
      <c r="B20" s="10">
        <v>0</v>
      </c>
      <c r="C20" s="10">
        <v>0</v>
      </c>
    </row>
    <row r="21" spans="1:3" x14ac:dyDescent="0.2">
      <c r="A21" s="96">
        <v>43881</v>
      </c>
      <c r="B21" s="10">
        <v>56.6</v>
      </c>
      <c r="C21" s="10">
        <v>0</v>
      </c>
    </row>
    <row r="22" spans="1:3" x14ac:dyDescent="0.2">
      <c r="A22" s="96">
        <v>43882</v>
      </c>
      <c r="B22" s="10">
        <v>1</v>
      </c>
      <c r="C22" s="10">
        <v>0</v>
      </c>
    </row>
    <row r="23" spans="1:3" x14ac:dyDescent="0.2">
      <c r="A23" s="96" t="s">
        <v>45</v>
      </c>
      <c r="B23" s="10">
        <v>0</v>
      </c>
      <c r="C23" s="10">
        <v>-294.50000000000023</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4395D6-EFAB-48A0-BFC2-9EB419BF841D}">
  <dimension ref="A1:B7725"/>
  <sheetViews>
    <sheetView workbookViewId="0">
      <selection activeCell="D8" sqref="D8"/>
    </sheetView>
  </sheetViews>
  <sheetFormatPr baseColWidth="10" defaultRowHeight="14.25" x14ac:dyDescent="0.2"/>
  <cols>
    <col min="1" max="1" width="11.25" bestFit="1" customWidth="1"/>
    <col min="2" max="2" width="12.5" bestFit="1" customWidth="1"/>
  </cols>
  <sheetData>
    <row r="1" spans="1:2" x14ac:dyDescent="0.2">
      <c r="A1" t="s">
        <v>173</v>
      </c>
      <c r="B1" t="s">
        <v>174</v>
      </c>
    </row>
    <row r="2" spans="1:2" x14ac:dyDescent="0.2">
      <c r="A2" s="57"/>
    </row>
    <row r="3" spans="1:2" x14ac:dyDescent="0.2">
      <c r="A3" s="57"/>
    </row>
    <row r="4" spans="1:2" x14ac:dyDescent="0.2">
      <c r="A4" s="57"/>
    </row>
    <row r="5" spans="1:2" x14ac:dyDescent="0.2">
      <c r="A5" s="57"/>
    </row>
    <row r="6" spans="1:2" x14ac:dyDescent="0.2">
      <c r="A6" s="57"/>
    </row>
    <row r="7" spans="1:2" x14ac:dyDescent="0.2">
      <c r="A7" s="57"/>
    </row>
    <row r="8" spans="1:2" x14ac:dyDescent="0.2">
      <c r="A8" s="57">
        <v>43881</v>
      </c>
      <c r="B8">
        <v>1.079</v>
      </c>
    </row>
    <row r="9" spans="1:2" x14ac:dyDescent="0.2">
      <c r="A9" s="57">
        <v>43880</v>
      </c>
      <c r="B9">
        <v>1.08</v>
      </c>
    </row>
    <row r="10" spans="1:2" x14ac:dyDescent="0.2">
      <c r="A10" s="57">
        <v>43879</v>
      </c>
      <c r="B10">
        <v>1.0815999999999999</v>
      </c>
    </row>
    <row r="11" spans="1:2" x14ac:dyDescent="0.2">
      <c r="A11" s="57">
        <v>43878</v>
      </c>
      <c r="B11">
        <v>1.0834999999999999</v>
      </c>
    </row>
    <row r="12" spans="1:2" x14ac:dyDescent="0.2">
      <c r="A12" s="57">
        <v>43877</v>
      </c>
    </row>
    <row r="13" spans="1:2" x14ac:dyDescent="0.2">
      <c r="A13" s="57">
        <v>43876</v>
      </c>
    </row>
    <row r="14" spans="1:2" x14ac:dyDescent="0.2">
      <c r="A14" s="57">
        <v>43875</v>
      </c>
      <c r="B14">
        <v>1.0842000000000001</v>
      </c>
    </row>
    <row r="15" spans="1:2" x14ac:dyDescent="0.2">
      <c r="A15" s="57">
        <v>43874</v>
      </c>
      <c r="B15">
        <v>1.0867</v>
      </c>
    </row>
    <row r="16" spans="1:2" x14ac:dyDescent="0.2">
      <c r="A16" s="57">
        <v>43873</v>
      </c>
      <c r="B16">
        <v>1.0913999999999999</v>
      </c>
    </row>
    <row r="17" spans="1:2" x14ac:dyDescent="0.2">
      <c r="A17" s="57">
        <v>43872</v>
      </c>
      <c r="B17">
        <v>1.0901000000000001</v>
      </c>
    </row>
    <row r="18" spans="1:2" x14ac:dyDescent="0.2">
      <c r="A18" s="57">
        <v>43871</v>
      </c>
      <c r="B18">
        <v>1.0951</v>
      </c>
    </row>
    <row r="19" spans="1:2" x14ac:dyDescent="0.2">
      <c r="A19" s="57">
        <v>43870</v>
      </c>
    </row>
    <row r="20" spans="1:2" x14ac:dyDescent="0.2">
      <c r="A20" s="57">
        <v>43869</v>
      </c>
    </row>
    <row r="21" spans="1:2" x14ac:dyDescent="0.2">
      <c r="A21" s="57">
        <v>43868</v>
      </c>
      <c r="B21">
        <v>1.0969</v>
      </c>
    </row>
    <row r="22" spans="1:2" x14ac:dyDescent="0.2">
      <c r="A22" s="57">
        <v>43867</v>
      </c>
      <c r="B22">
        <v>1.1003000000000001</v>
      </c>
    </row>
    <row r="23" spans="1:2" x14ac:dyDescent="0.2">
      <c r="A23" s="57">
        <v>43866</v>
      </c>
      <c r="B23">
        <v>1.1023000000000001</v>
      </c>
    </row>
    <row r="24" spans="1:2" x14ac:dyDescent="0.2">
      <c r="A24" s="57">
        <v>43865</v>
      </c>
      <c r="B24">
        <v>1.1048</v>
      </c>
    </row>
    <row r="25" spans="1:2" x14ac:dyDescent="0.2">
      <c r="A25" s="57">
        <v>43864</v>
      </c>
      <c r="B25">
        <v>1.1066</v>
      </c>
    </row>
    <row r="26" spans="1:2" x14ac:dyDescent="0.2">
      <c r="A26" s="57">
        <v>43863</v>
      </c>
    </row>
    <row r="27" spans="1:2" x14ac:dyDescent="0.2">
      <c r="A27" s="57">
        <v>43862</v>
      </c>
    </row>
    <row r="28" spans="1:2" x14ac:dyDescent="0.2">
      <c r="A28" s="57">
        <v>43861</v>
      </c>
      <c r="B28">
        <v>1.1052</v>
      </c>
    </row>
    <row r="29" spans="1:2" x14ac:dyDescent="0.2">
      <c r="A29" s="57">
        <v>43860</v>
      </c>
      <c r="B29">
        <v>1.1029</v>
      </c>
    </row>
    <row r="30" spans="1:2" x14ac:dyDescent="0.2">
      <c r="A30" s="57">
        <v>43859</v>
      </c>
      <c r="B30">
        <v>1.1001000000000001</v>
      </c>
    </row>
    <row r="31" spans="1:2" x14ac:dyDescent="0.2">
      <c r="A31" s="57">
        <v>43858</v>
      </c>
      <c r="B31">
        <v>1.1005</v>
      </c>
    </row>
    <row r="32" spans="1:2" x14ac:dyDescent="0.2">
      <c r="A32" s="57">
        <v>43857</v>
      </c>
      <c r="B32">
        <v>1.1025</v>
      </c>
    </row>
    <row r="33" spans="1:2" x14ac:dyDescent="0.2">
      <c r="A33" s="57">
        <v>43856</v>
      </c>
    </row>
    <row r="34" spans="1:2" x14ac:dyDescent="0.2">
      <c r="A34" s="57">
        <v>43855</v>
      </c>
    </row>
    <row r="35" spans="1:2" x14ac:dyDescent="0.2">
      <c r="A35" s="57">
        <v>43854</v>
      </c>
      <c r="B35">
        <v>1.1034999999999999</v>
      </c>
    </row>
    <row r="36" spans="1:2" x14ac:dyDescent="0.2">
      <c r="A36" s="57">
        <v>43853</v>
      </c>
      <c r="B36">
        <v>1.1091</v>
      </c>
    </row>
    <row r="37" spans="1:2" x14ac:dyDescent="0.2">
      <c r="A37" s="57">
        <v>43852</v>
      </c>
      <c r="B37">
        <v>1.1088</v>
      </c>
    </row>
    <row r="38" spans="1:2" x14ac:dyDescent="0.2">
      <c r="A38" s="57">
        <v>43851</v>
      </c>
      <c r="B38">
        <v>1.1114999999999999</v>
      </c>
    </row>
    <row r="39" spans="1:2" x14ac:dyDescent="0.2">
      <c r="A39" s="57">
        <v>43850</v>
      </c>
      <c r="B39">
        <v>1.1085</v>
      </c>
    </row>
    <row r="40" spans="1:2" x14ac:dyDescent="0.2">
      <c r="A40" s="57">
        <v>43849</v>
      </c>
    </row>
    <row r="41" spans="1:2" x14ac:dyDescent="0.2">
      <c r="A41" s="57">
        <v>43848</v>
      </c>
    </row>
    <row r="42" spans="1:2" x14ac:dyDescent="0.2">
      <c r="A42" s="57">
        <v>43847</v>
      </c>
      <c r="B42">
        <v>1.1108</v>
      </c>
    </row>
    <row r="43" spans="1:2" x14ac:dyDescent="0.2">
      <c r="A43" s="57">
        <v>43846</v>
      </c>
      <c r="B43">
        <v>1.1169</v>
      </c>
    </row>
    <row r="44" spans="1:2" x14ac:dyDescent="0.2">
      <c r="A44" s="57">
        <v>43845</v>
      </c>
      <c r="B44">
        <v>1.1142000000000001</v>
      </c>
    </row>
    <row r="45" spans="1:2" x14ac:dyDescent="0.2">
      <c r="A45" s="57">
        <v>43844</v>
      </c>
      <c r="B45">
        <v>1.1114999999999999</v>
      </c>
    </row>
    <row r="46" spans="1:2" x14ac:dyDescent="0.2">
      <c r="A46" s="57">
        <v>43843</v>
      </c>
      <c r="B46">
        <v>1.1126</v>
      </c>
    </row>
    <row r="47" spans="1:2" x14ac:dyDescent="0.2">
      <c r="A47" s="57">
        <v>43842</v>
      </c>
    </row>
    <row r="48" spans="1:2" x14ac:dyDescent="0.2">
      <c r="A48" s="57">
        <v>43841</v>
      </c>
    </row>
    <row r="49" spans="1:2" x14ac:dyDescent="0.2">
      <c r="A49" s="57">
        <v>43840</v>
      </c>
      <c r="B49">
        <v>1.1091</v>
      </c>
    </row>
    <row r="50" spans="1:2" x14ac:dyDescent="0.2">
      <c r="A50" s="57">
        <v>43839</v>
      </c>
      <c r="B50">
        <v>1.111</v>
      </c>
    </row>
    <row r="51" spans="1:2" x14ac:dyDescent="0.2">
      <c r="A51" s="57">
        <v>43838</v>
      </c>
      <c r="B51">
        <v>1.1114999999999999</v>
      </c>
    </row>
    <row r="52" spans="1:2" x14ac:dyDescent="0.2">
      <c r="A52" s="57">
        <v>43837</v>
      </c>
      <c r="B52">
        <v>1.1172</v>
      </c>
    </row>
    <row r="53" spans="1:2" x14ac:dyDescent="0.2">
      <c r="A53" s="57">
        <v>43836</v>
      </c>
      <c r="B53">
        <v>1.1194</v>
      </c>
    </row>
    <row r="54" spans="1:2" x14ac:dyDescent="0.2">
      <c r="A54" s="57">
        <v>43835</v>
      </c>
    </row>
    <row r="55" spans="1:2" x14ac:dyDescent="0.2">
      <c r="A55" s="57">
        <v>43834</v>
      </c>
    </row>
    <row r="56" spans="1:2" x14ac:dyDescent="0.2">
      <c r="A56" s="57">
        <v>43833</v>
      </c>
      <c r="B56">
        <v>1.1147</v>
      </c>
    </row>
    <row r="57" spans="1:2" x14ac:dyDescent="0.2">
      <c r="A57" s="57">
        <v>43832</v>
      </c>
      <c r="B57">
        <v>1.1193</v>
      </c>
    </row>
    <row r="58" spans="1:2" x14ac:dyDescent="0.2">
      <c r="A58" s="57">
        <v>43831</v>
      </c>
    </row>
    <row r="59" spans="1:2" x14ac:dyDescent="0.2">
      <c r="A59" s="57">
        <v>43830</v>
      </c>
      <c r="B59">
        <v>1.1234</v>
      </c>
    </row>
    <row r="60" spans="1:2" x14ac:dyDescent="0.2">
      <c r="A60" s="57">
        <v>43829</v>
      </c>
      <c r="B60">
        <v>1.1189</v>
      </c>
    </row>
    <row r="61" spans="1:2" x14ac:dyDescent="0.2">
      <c r="A61" s="57">
        <v>43828</v>
      </c>
    </row>
    <row r="62" spans="1:2" x14ac:dyDescent="0.2">
      <c r="A62" s="57">
        <v>43827</v>
      </c>
    </row>
    <row r="63" spans="1:2" x14ac:dyDescent="0.2">
      <c r="A63" s="57">
        <v>43826</v>
      </c>
      <c r="B63">
        <v>1.1153</v>
      </c>
    </row>
    <row r="64" spans="1:2" x14ac:dyDescent="0.2">
      <c r="A64" s="57">
        <v>43825</v>
      </c>
    </row>
    <row r="65" spans="1:2" x14ac:dyDescent="0.2">
      <c r="A65" s="57">
        <v>43824</v>
      </c>
    </row>
    <row r="66" spans="1:2" x14ac:dyDescent="0.2">
      <c r="A66" s="57">
        <v>43823</v>
      </c>
      <c r="B66">
        <v>1.1080000000000001</v>
      </c>
    </row>
    <row r="67" spans="1:2" x14ac:dyDescent="0.2">
      <c r="A67" s="57">
        <v>43822</v>
      </c>
      <c r="B67">
        <v>1.1074999999999999</v>
      </c>
    </row>
    <row r="68" spans="1:2" x14ac:dyDescent="0.2">
      <c r="A68" s="57">
        <v>43821</v>
      </c>
    </row>
    <row r="69" spans="1:2" x14ac:dyDescent="0.2">
      <c r="A69" s="57">
        <v>43820</v>
      </c>
    </row>
    <row r="70" spans="1:2" x14ac:dyDescent="0.2">
      <c r="A70" s="57">
        <v>43819</v>
      </c>
      <c r="B70">
        <v>1.1096999999999999</v>
      </c>
    </row>
    <row r="71" spans="1:2" x14ac:dyDescent="0.2">
      <c r="A71" s="57">
        <v>43818</v>
      </c>
      <c r="B71">
        <v>1.1116999999999999</v>
      </c>
    </row>
    <row r="72" spans="1:2" x14ac:dyDescent="0.2">
      <c r="A72" s="57">
        <v>43817</v>
      </c>
      <c r="B72">
        <v>1.1114999999999999</v>
      </c>
    </row>
    <row r="73" spans="1:2" x14ac:dyDescent="0.2">
      <c r="A73" s="57">
        <v>43816</v>
      </c>
      <c r="B73">
        <v>1.1162000000000001</v>
      </c>
    </row>
    <row r="74" spans="1:2" x14ac:dyDescent="0.2">
      <c r="A74" s="57">
        <v>43815</v>
      </c>
      <c r="B74">
        <v>1.1146</v>
      </c>
    </row>
    <row r="75" spans="1:2" x14ac:dyDescent="0.2">
      <c r="A75" s="57">
        <v>43814</v>
      </c>
    </row>
    <row r="76" spans="1:2" x14ac:dyDescent="0.2">
      <c r="A76" s="57">
        <v>43813</v>
      </c>
    </row>
    <row r="77" spans="1:2" x14ac:dyDescent="0.2">
      <c r="A77" s="57">
        <v>43812</v>
      </c>
      <c r="B77">
        <v>1.1173999999999999</v>
      </c>
    </row>
    <row r="78" spans="1:2" x14ac:dyDescent="0.2">
      <c r="A78" s="57">
        <v>43811</v>
      </c>
      <c r="B78">
        <v>1.1136999999999999</v>
      </c>
    </row>
    <row r="79" spans="1:2" x14ac:dyDescent="0.2">
      <c r="A79" s="57">
        <v>43810</v>
      </c>
      <c r="B79">
        <v>1.1074999999999999</v>
      </c>
    </row>
    <row r="80" spans="1:2" x14ac:dyDescent="0.2">
      <c r="A80" s="57">
        <v>43809</v>
      </c>
      <c r="B80">
        <v>1.1076999999999999</v>
      </c>
    </row>
    <row r="81" spans="1:2" x14ac:dyDescent="0.2">
      <c r="A81" s="57">
        <v>43808</v>
      </c>
      <c r="B81">
        <v>1.1074999999999999</v>
      </c>
    </row>
    <row r="82" spans="1:2" x14ac:dyDescent="0.2">
      <c r="A82" s="57">
        <v>43807</v>
      </c>
    </row>
    <row r="83" spans="1:2" x14ac:dyDescent="0.2">
      <c r="A83" s="57">
        <v>43806</v>
      </c>
    </row>
    <row r="84" spans="1:2" x14ac:dyDescent="0.2">
      <c r="A84" s="57">
        <v>43805</v>
      </c>
      <c r="B84">
        <v>1.1093999999999999</v>
      </c>
    </row>
    <row r="85" spans="1:2" x14ac:dyDescent="0.2">
      <c r="A85" s="57">
        <v>43804</v>
      </c>
      <c r="B85">
        <v>1.1093999999999999</v>
      </c>
    </row>
    <row r="86" spans="1:2" x14ac:dyDescent="0.2">
      <c r="A86" s="57">
        <v>43803</v>
      </c>
      <c r="B86">
        <v>1.1081000000000001</v>
      </c>
    </row>
    <row r="87" spans="1:2" x14ac:dyDescent="0.2">
      <c r="A87" s="57">
        <v>43802</v>
      </c>
      <c r="B87">
        <v>1.1071</v>
      </c>
    </row>
    <row r="88" spans="1:2" x14ac:dyDescent="0.2">
      <c r="A88" s="57">
        <v>43801</v>
      </c>
      <c r="B88">
        <v>1.1023000000000001</v>
      </c>
    </row>
    <row r="89" spans="1:2" x14ac:dyDescent="0.2">
      <c r="A89" s="57">
        <v>43800</v>
      </c>
    </row>
    <row r="90" spans="1:2" x14ac:dyDescent="0.2">
      <c r="A90" s="57">
        <v>43799</v>
      </c>
    </row>
    <row r="91" spans="1:2" x14ac:dyDescent="0.2">
      <c r="A91" s="57">
        <v>43798</v>
      </c>
      <c r="B91">
        <v>1.0982000000000001</v>
      </c>
    </row>
    <row r="92" spans="1:2" x14ac:dyDescent="0.2">
      <c r="A92" s="57">
        <v>43797</v>
      </c>
      <c r="B92">
        <v>1.1005</v>
      </c>
    </row>
    <row r="93" spans="1:2" x14ac:dyDescent="0.2">
      <c r="A93" s="57">
        <v>43796</v>
      </c>
      <c r="B93">
        <v>1.1009</v>
      </c>
    </row>
    <row r="94" spans="1:2" x14ac:dyDescent="0.2">
      <c r="A94" s="57">
        <v>43795</v>
      </c>
      <c r="B94">
        <v>1.1020000000000001</v>
      </c>
    </row>
    <row r="95" spans="1:2" x14ac:dyDescent="0.2">
      <c r="A95" s="57">
        <v>43794</v>
      </c>
      <c r="B95">
        <v>1.1008</v>
      </c>
    </row>
    <row r="96" spans="1:2" x14ac:dyDescent="0.2">
      <c r="A96" s="57">
        <v>43793</v>
      </c>
    </row>
    <row r="97" spans="1:2" x14ac:dyDescent="0.2">
      <c r="A97" s="57">
        <v>43792</v>
      </c>
    </row>
    <row r="98" spans="1:2" x14ac:dyDescent="0.2">
      <c r="A98" s="57">
        <v>43791</v>
      </c>
      <c r="B98">
        <v>1.1057999999999999</v>
      </c>
    </row>
    <row r="99" spans="1:2" x14ac:dyDescent="0.2">
      <c r="A99" s="57">
        <v>43790</v>
      </c>
      <c r="B99">
        <v>1.1091</v>
      </c>
    </row>
    <row r="100" spans="1:2" x14ac:dyDescent="0.2">
      <c r="A100" s="57">
        <v>43789</v>
      </c>
      <c r="B100">
        <v>1.1059000000000001</v>
      </c>
    </row>
    <row r="101" spans="1:2" x14ac:dyDescent="0.2">
      <c r="A101" s="57">
        <v>43788</v>
      </c>
      <c r="B101">
        <v>1.1076999999999999</v>
      </c>
    </row>
    <row r="102" spans="1:2" x14ac:dyDescent="0.2">
      <c r="A102" s="57">
        <v>43787</v>
      </c>
      <c r="B102">
        <v>1.1061000000000001</v>
      </c>
    </row>
    <row r="103" spans="1:2" x14ac:dyDescent="0.2">
      <c r="A103" s="57">
        <v>43786</v>
      </c>
    </row>
    <row r="104" spans="1:2" x14ac:dyDescent="0.2">
      <c r="A104" s="57">
        <v>43785</v>
      </c>
    </row>
    <row r="105" spans="1:2" x14ac:dyDescent="0.2">
      <c r="A105" s="57">
        <v>43784</v>
      </c>
      <c r="B105">
        <v>1.1033999999999999</v>
      </c>
    </row>
    <row r="106" spans="1:2" x14ac:dyDescent="0.2">
      <c r="A106" s="57">
        <v>43783</v>
      </c>
      <c r="B106">
        <v>1.0996999999999999</v>
      </c>
    </row>
    <row r="107" spans="1:2" x14ac:dyDescent="0.2">
      <c r="A107" s="57">
        <v>43782</v>
      </c>
      <c r="B107">
        <v>1.1006</v>
      </c>
    </row>
    <row r="108" spans="1:2" x14ac:dyDescent="0.2">
      <c r="A108" s="57">
        <v>43781</v>
      </c>
      <c r="B108">
        <v>1.1014999999999999</v>
      </c>
    </row>
    <row r="109" spans="1:2" x14ac:dyDescent="0.2">
      <c r="A109" s="57">
        <v>43780</v>
      </c>
      <c r="B109">
        <v>1.1041000000000001</v>
      </c>
    </row>
    <row r="110" spans="1:2" x14ac:dyDescent="0.2">
      <c r="A110" s="57">
        <v>43779</v>
      </c>
    </row>
    <row r="111" spans="1:2" x14ac:dyDescent="0.2">
      <c r="A111" s="57">
        <v>43778</v>
      </c>
    </row>
    <row r="112" spans="1:2" x14ac:dyDescent="0.2">
      <c r="A112" s="57">
        <v>43777</v>
      </c>
      <c r="B112">
        <v>1.1033999999999999</v>
      </c>
    </row>
    <row r="113" spans="1:2" x14ac:dyDescent="0.2">
      <c r="A113" s="57">
        <v>43776</v>
      </c>
      <c r="B113">
        <v>1.1076999999999999</v>
      </c>
    </row>
    <row r="114" spans="1:2" x14ac:dyDescent="0.2">
      <c r="A114" s="57">
        <v>43775</v>
      </c>
      <c r="B114">
        <v>1.109</v>
      </c>
    </row>
    <row r="115" spans="1:2" x14ac:dyDescent="0.2">
      <c r="A115" s="57">
        <v>43774</v>
      </c>
      <c r="B115">
        <v>1.1109</v>
      </c>
    </row>
    <row r="116" spans="1:2" x14ac:dyDescent="0.2">
      <c r="A116" s="57">
        <v>43773</v>
      </c>
      <c r="B116">
        <v>1.1157999999999999</v>
      </c>
    </row>
    <row r="117" spans="1:2" x14ac:dyDescent="0.2">
      <c r="A117" s="57">
        <v>43772</v>
      </c>
    </row>
    <row r="118" spans="1:2" x14ac:dyDescent="0.2">
      <c r="A118" s="57">
        <v>43771</v>
      </c>
    </row>
    <row r="119" spans="1:2" x14ac:dyDescent="0.2">
      <c r="A119" s="57">
        <v>43770</v>
      </c>
      <c r="B119">
        <v>1.1138999999999999</v>
      </c>
    </row>
    <row r="120" spans="1:2" x14ac:dyDescent="0.2">
      <c r="A120" s="57">
        <v>43769</v>
      </c>
      <c r="B120">
        <v>1.1153999999999999</v>
      </c>
    </row>
    <row r="121" spans="1:2" x14ac:dyDescent="0.2">
      <c r="A121" s="57">
        <v>43768</v>
      </c>
      <c r="B121">
        <v>1.1106</v>
      </c>
    </row>
    <row r="122" spans="1:2" x14ac:dyDescent="0.2">
      <c r="A122" s="57">
        <v>43767</v>
      </c>
      <c r="B122">
        <v>1.1094999999999999</v>
      </c>
    </row>
    <row r="123" spans="1:2" x14ac:dyDescent="0.2">
      <c r="A123" s="57">
        <v>43766</v>
      </c>
      <c r="B123">
        <v>1.1087</v>
      </c>
    </row>
    <row r="124" spans="1:2" x14ac:dyDescent="0.2">
      <c r="A124" s="57">
        <v>43765</v>
      </c>
    </row>
    <row r="125" spans="1:2" x14ac:dyDescent="0.2">
      <c r="A125" s="57">
        <v>43764</v>
      </c>
    </row>
    <row r="126" spans="1:2" x14ac:dyDescent="0.2">
      <c r="A126" s="57">
        <v>43763</v>
      </c>
      <c r="B126">
        <v>1.1107</v>
      </c>
    </row>
    <row r="127" spans="1:2" x14ac:dyDescent="0.2">
      <c r="A127" s="57">
        <v>43762</v>
      </c>
      <c r="B127">
        <v>1.1128</v>
      </c>
    </row>
    <row r="128" spans="1:2" x14ac:dyDescent="0.2">
      <c r="A128" s="57">
        <v>43761</v>
      </c>
      <c r="B128">
        <v>1.1123000000000001</v>
      </c>
    </row>
    <row r="129" spans="1:2" x14ac:dyDescent="0.2">
      <c r="A129" s="57">
        <v>43760</v>
      </c>
      <c r="B129">
        <v>1.113</v>
      </c>
    </row>
    <row r="130" spans="1:2" x14ac:dyDescent="0.2">
      <c r="A130" s="57">
        <v>43759</v>
      </c>
      <c r="B130">
        <v>1.1173</v>
      </c>
    </row>
    <row r="131" spans="1:2" x14ac:dyDescent="0.2">
      <c r="A131" s="57">
        <v>43758</v>
      </c>
    </row>
    <row r="132" spans="1:2" x14ac:dyDescent="0.2">
      <c r="A132" s="57">
        <v>43757</v>
      </c>
    </row>
    <row r="133" spans="1:2" x14ac:dyDescent="0.2">
      <c r="A133" s="57">
        <v>43756</v>
      </c>
      <c r="B133">
        <v>1.1144000000000001</v>
      </c>
    </row>
    <row r="134" spans="1:2" x14ac:dyDescent="0.2">
      <c r="A134" s="57">
        <v>43755</v>
      </c>
      <c r="B134">
        <v>1.1113</v>
      </c>
    </row>
    <row r="135" spans="1:2" x14ac:dyDescent="0.2">
      <c r="A135" s="57">
        <v>43754</v>
      </c>
      <c r="B135">
        <v>1.1025</v>
      </c>
    </row>
    <row r="136" spans="1:2" x14ac:dyDescent="0.2">
      <c r="A136" s="57">
        <v>43753</v>
      </c>
      <c r="B136">
        <v>1.1007</v>
      </c>
    </row>
    <row r="137" spans="1:2" x14ac:dyDescent="0.2">
      <c r="A137" s="57">
        <v>43752</v>
      </c>
      <c r="B137">
        <v>1.1031</v>
      </c>
    </row>
    <row r="138" spans="1:2" x14ac:dyDescent="0.2">
      <c r="A138" s="57">
        <v>43751</v>
      </c>
    </row>
    <row r="139" spans="1:2" x14ac:dyDescent="0.2">
      <c r="A139" s="57">
        <v>43750</v>
      </c>
    </row>
    <row r="140" spans="1:2" x14ac:dyDescent="0.2">
      <c r="A140" s="57">
        <v>43749</v>
      </c>
      <c r="B140">
        <v>1.1043000000000001</v>
      </c>
    </row>
    <row r="141" spans="1:2" x14ac:dyDescent="0.2">
      <c r="A141" s="57">
        <v>43748</v>
      </c>
      <c r="B141">
        <v>1.103</v>
      </c>
    </row>
    <row r="142" spans="1:2" x14ac:dyDescent="0.2">
      <c r="A142" s="57">
        <v>43747</v>
      </c>
      <c r="B142">
        <v>1.0981000000000001</v>
      </c>
    </row>
    <row r="143" spans="1:2" x14ac:dyDescent="0.2">
      <c r="A143" s="57">
        <v>43746</v>
      </c>
      <c r="B143">
        <v>1.0986</v>
      </c>
    </row>
    <row r="144" spans="1:2" x14ac:dyDescent="0.2">
      <c r="A144" s="57">
        <v>43745</v>
      </c>
      <c r="B144">
        <v>1.0992999999999999</v>
      </c>
    </row>
    <row r="145" spans="1:2" x14ac:dyDescent="0.2">
      <c r="A145" s="57">
        <v>43744</v>
      </c>
    </row>
    <row r="146" spans="1:2" x14ac:dyDescent="0.2">
      <c r="A146" s="57">
        <v>43743</v>
      </c>
    </row>
    <row r="147" spans="1:2" x14ac:dyDescent="0.2">
      <c r="A147" s="57">
        <v>43742</v>
      </c>
      <c r="B147">
        <v>1.0979000000000001</v>
      </c>
    </row>
    <row r="148" spans="1:2" x14ac:dyDescent="0.2">
      <c r="A148" s="57">
        <v>43741</v>
      </c>
      <c r="B148">
        <v>1.0951</v>
      </c>
    </row>
    <row r="149" spans="1:2" x14ac:dyDescent="0.2">
      <c r="A149" s="57">
        <v>43740</v>
      </c>
      <c r="B149">
        <v>1.0925</v>
      </c>
    </row>
    <row r="150" spans="1:2" x14ac:dyDescent="0.2">
      <c r="A150" s="57">
        <v>43739</v>
      </c>
      <c r="B150">
        <v>1.0898000000000001</v>
      </c>
    </row>
    <row r="151" spans="1:2" x14ac:dyDescent="0.2">
      <c r="A151" s="57">
        <v>43738</v>
      </c>
      <c r="B151">
        <v>1.0889</v>
      </c>
    </row>
    <row r="152" spans="1:2" x14ac:dyDescent="0.2">
      <c r="A152" s="57">
        <v>43737</v>
      </c>
    </row>
    <row r="153" spans="1:2" x14ac:dyDescent="0.2">
      <c r="A153" s="57">
        <v>43736</v>
      </c>
    </row>
    <row r="154" spans="1:2" x14ac:dyDescent="0.2">
      <c r="A154" s="57">
        <v>43735</v>
      </c>
      <c r="B154">
        <v>1.0934999999999999</v>
      </c>
    </row>
    <row r="155" spans="1:2" x14ac:dyDescent="0.2">
      <c r="A155" s="57">
        <v>43734</v>
      </c>
      <c r="B155">
        <v>1.0938000000000001</v>
      </c>
    </row>
    <row r="156" spans="1:2" x14ac:dyDescent="0.2">
      <c r="A156" s="57">
        <v>43733</v>
      </c>
      <c r="B156">
        <v>1.0982000000000001</v>
      </c>
    </row>
    <row r="157" spans="1:2" x14ac:dyDescent="0.2">
      <c r="A157" s="57">
        <v>43732</v>
      </c>
      <c r="B157">
        <v>1.1003000000000001</v>
      </c>
    </row>
    <row r="158" spans="1:2" x14ac:dyDescent="0.2">
      <c r="A158" s="57">
        <v>43731</v>
      </c>
      <c r="B158">
        <v>1.0985</v>
      </c>
    </row>
    <row r="159" spans="1:2" x14ac:dyDescent="0.2">
      <c r="A159" s="57">
        <v>43730</v>
      </c>
    </row>
    <row r="160" spans="1:2" x14ac:dyDescent="0.2">
      <c r="A160" s="57">
        <v>43729</v>
      </c>
    </row>
    <row r="161" spans="1:2" x14ac:dyDescent="0.2">
      <c r="A161" s="57">
        <v>43728</v>
      </c>
      <c r="B161">
        <v>1.103</v>
      </c>
    </row>
    <row r="162" spans="1:2" x14ac:dyDescent="0.2">
      <c r="A162" s="57">
        <v>43727</v>
      </c>
      <c r="B162">
        <v>1.1067</v>
      </c>
    </row>
    <row r="163" spans="1:2" x14ac:dyDescent="0.2">
      <c r="A163" s="57">
        <v>43726</v>
      </c>
      <c r="B163">
        <v>1.1052999999999999</v>
      </c>
    </row>
    <row r="164" spans="1:2" x14ac:dyDescent="0.2">
      <c r="A164" s="57">
        <v>43725</v>
      </c>
      <c r="B164">
        <v>1.1026</v>
      </c>
    </row>
    <row r="165" spans="1:2" x14ac:dyDescent="0.2">
      <c r="A165" s="57">
        <v>43724</v>
      </c>
      <c r="B165">
        <v>1.1031</v>
      </c>
    </row>
    <row r="166" spans="1:2" x14ac:dyDescent="0.2">
      <c r="A166" s="57">
        <v>43723</v>
      </c>
    </row>
    <row r="167" spans="1:2" x14ac:dyDescent="0.2">
      <c r="A167" s="57">
        <v>43722</v>
      </c>
    </row>
    <row r="168" spans="1:2" x14ac:dyDescent="0.2">
      <c r="A168" s="57">
        <v>43721</v>
      </c>
      <c r="B168">
        <v>1.1095999999999999</v>
      </c>
    </row>
    <row r="169" spans="1:2" x14ac:dyDescent="0.2">
      <c r="A169" s="57">
        <v>43720</v>
      </c>
      <c r="B169">
        <v>1.0963000000000001</v>
      </c>
    </row>
    <row r="170" spans="1:2" x14ac:dyDescent="0.2">
      <c r="A170" s="57">
        <v>43719</v>
      </c>
      <c r="B170">
        <v>1.1003000000000001</v>
      </c>
    </row>
    <row r="171" spans="1:2" x14ac:dyDescent="0.2">
      <c r="A171" s="57">
        <v>43718</v>
      </c>
      <c r="B171">
        <v>1.1040000000000001</v>
      </c>
    </row>
    <row r="172" spans="1:2" x14ac:dyDescent="0.2">
      <c r="A172" s="57">
        <v>43717</v>
      </c>
      <c r="B172">
        <v>1.1032999999999999</v>
      </c>
    </row>
    <row r="173" spans="1:2" x14ac:dyDescent="0.2">
      <c r="A173" s="57">
        <v>43716</v>
      </c>
    </row>
    <row r="174" spans="1:2" x14ac:dyDescent="0.2">
      <c r="A174" s="57">
        <v>43715</v>
      </c>
    </row>
    <row r="175" spans="1:2" x14ac:dyDescent="0.2">
      <c r="A175" s="57">
        <v>43714</v>
      </c>
      <c r="B175">
        <v>1.1027</v>
      </c>
    </row>
    <row r="176" spans="1:2" x14ac:dyDescent="0.2">
      <c r="A176" s="57">
        <v>43713</v>
      </c>
      <c r="B176">
        <v>1.1057999999999999</v>
      </c>
    </row>
    <row r="177" spans="1:2" x14ac:dyDescent="0.2">
      <c r="A177" s="57">
        <v>43712</v>
      </c>
      <c r="B177">
        <v>1.1017999999999999</v>
      </c>
    </row>
    <row r="178" spans="1:2" x14ac:dyDescent="0.2">
      <c r="A178" s="57">
        <v>43711</v>
      </c>
      <c r="B178">
        <v>1.0936999999999999</v>
      </c>
    </row>
    <row r="179" spans="1:2" x14ac:dyDescent="0.2">
      <c r="A179" s="57">
        <v>43710</v>
      </c>
      <c r="B179">
        <v>1.0968</v>
      </c>
    </row>
    <row r="180" spans="1:2" x14ac:dyDescent="0.2">
      <c r="A180" s="57">
        <v>43709</v>
      </c>
    </row>
    <row r="181" spans="1:2" x14ac:dyDescent="0.2">
      <c r="A181" s="57">
        <v>43708</v>
      </c>
    </row>
    <row r="182" spans="1:2" x14ac:dyDescent="0.2">
      <c r="A182" s="57">
        <v>43707</v>
      </c>
      <c r="B182">
        <v>1.1035999999999999</v>
      </c>
    </row>
    <row r="183" spans="1:2" x14ac:dyDescent="0.2">
      <c r="A183" s="57">
        <v>43706</v>
      </c>
      <c r="B183">
        <v>1.1072</v>
      </c>
    </row>
    <row r="184" spans="1:2" x14ac:dyDescent="0.2">
      <c r="A184" s="57">
        <v>43705</v>
      </c>
      <c r="B184">
        <v>1.1083000000000001</v>
      </c>
    </row>
    <row r="185" spans="1:2" x14ac:dyDescent="0.2">
      <c r="A185" s="57">
        <v>43704</v>
      </c>
      <c r="B185">
        <v>1.1104000000000001</v>
      </c>
    </row>
    <row r="186" spans="1:2" x14ac:dyDescent="0.2">
      <c r="A186" s="57">
        <v>43703</v>
      </c>
      <c r="B186">
        <v>1.1115999999999999</v>
      </c>
    </row>
    <row r="187" spans="1:2" x14ac:dyDescent="0.2">
      <c r="A187" s="57">
        <v>43702</v>
      </c>
    </row>
    <row r="188" spans="1:2" x14ac:dyDescent="0.2">
      <c r="A188" s="57">
        <v>43701</v>
      </c>
    </row>
    <row r="189" spans="1:2" x14ac:dyDescent="0.2">
      <c r="A189" s="57">
        <v>43700</v>
      </c>
      <c r="B189">
        <v>1.1065</v>
      </c>
    </row>
    <row r="190" spans="1:2" x14ac:dyDescent="0.2">
      <c r="A190" s="57">
        <v>43699</v>
      </c>
      <c r="B190">
        <v>1.1083000000000001</v>
      </c>
    </row>
    <row r="191" spans="1:2" x14ac:dyDescent="0.2">
      <c r="A191" s="57">
        <v>43698</v>
      </c>
      <c r="B191">
        <v>1.1104000000000001</v>
      </c>
    </row>
    <row r="192" spans="1:2" x14ac:dyDescent="0.2">
      <c r="A192" s="57">
        <v>43697</v>
      </c>
      <c r="B192">
        <v>1.1075999999999999</v>
      </c>
    </row>
    <row r="193" spans="1:2" x14ac:dyDescent="0.2">
      <c r="A193" s="57">
        <v>43696</v>
      </c>
      <c r="B193">
        <v>1.1103000000000001</v>
      </c>
    </row>
    <row r="194" spans="1:2" x14ac:dyDescent="0.2">
      <c r="A194" s="57">
        <v>43695</v>
      </c>
    </row>
    <row r="195" spans="1:2" x14ac:dyDescent="0.2">
      <c r="A195" s="57">
        <v>43694</v>
      </c>
    </row>
    <row r="196" spans="1:2" x14ac:dyDescent="0.2">
      <c r="A196" s="57">
        <v>43693</v>
      </c>
      <c r="B196">
        <v>1.1075999999999999</v>
      </c>
    </row>
    <row r="197" spans="1:2" x14ac:dyDescent="0.2">
      <c r="A197" s="57">
        <v>43692</v>
      </c>
      <c r="B197">
        <v>1.115</v>
      </c>
    </row>
    <row r="198" spans="1:2" x14ac:dyDescent="0.2">
      <c r="A198" s="57">
        <v>43691</v>
      </c>
      <c r="B198">
        <v>1.1188</v>
      </c>
    </row>
    <row r="199" spans="1:2" x14ac:dyDescent="0.2">
      <c r="A199" s="57">
        <v>43690</v>
      </c>
      <c r="B199">
        <v>1.1222000000000001</v>
      </c>
    </row>
    <row r="200" spans="1:2" x14ac:dyDescent="0.2">
      <c r="A200" s="57">
        <v>43689</v>
      </c>
      <c r="B200">
        <v>1.1194</v>
      </c>
    </row>
    <row r="201" spans="1:2" x14ac:dyDescent="0.2">
      <c r="A201" s="57">
        <v>43688</v>
      </c>
    </row>
    <row r="202" spans="1:2" x14ac:dyDescent="0.2">
      <c r="A202" s="57">
        <v>43687</v>
      </c>
    </row>
    <row r="203" spans="1:2" x14ac:dyDescent="0.2">
      <c r="A203" s="57">
        <v>43686</v>
      </c>
      <c r="B203">
        <v>1.1197999999999999</v>
      </c>
    </row>
    <row r="204" spans="1:2" x14ac:dyDescent="0.2">
      <c r="A204" s="57">
        <v>43685</v>
      </c>
      <c r="B204">
        <v>1.1193</v>
      </c>
    </row>
    <row r="205" spans="1:2" x14ac:dyDescent="0.2">
      <c r="A205" s="57">
        <v>43684</v>
      </c>
      <c r="B205">
        <v>1.1202000000000001</v>
      </c>
    </row>
    <row r="206" spans="1:2" x14ac:dyDescent="0.2">
      <c r="A206" s="57">
        <v>43683</v>
      </c>
      <c r="B206">
        <v>1.1187</v>
      </c>
    </row>
    <row r="207" spans="1:2" x14ac:dyDescent="0.2">
      <c r="A207" s="57">
        <v>43682</v>
      </c>
      <c r="B207">
        <v>1.1182000000000001</v>
      </c>
    </row>
    <row r="208" spans="1:2" x14ac:dyDescent="0.2">
      <c r="A208" s="57">
        <v>43681</v>
      </c>
    </row>
    <row r="209" spans="1:2" x14ac:dyDescent="0.2">
      <c r="A209" s="57">
        <v>43680</v>
      </c>
    </row>
    <row r="210" spans="1:2" x14ac:dyDescent="0.2">
      <c r="A210" s="57">
        <v>43679</v>
      </c>
      <c r="B210">
        <v>1.1106</v>
      </c>
    </row>
    <row r="211" spans="1:2" x14ac:dyDescent="0.2">
      <c r="A211" s="57">
        <v>43678</v>
      </c>
      <c r="B211">
        <v>1.1036999999999999</v>
      </c>
    </row>
    <row r="212" spans="1:2" x14ac:dyDescent="0.2">
      <c r="A212" s="57">
        <v>43677</v>
      </c>
      <c r="B212">
        <v>1.1151</v>
      </c>
    </row>
    <row r="213" spans="1:2" x14ac:dyDescent="0.2">
      <c r="A213" s="57">
        <v>43676</v>
      </c>
      <c r="B213">
        <v>1.1153999999999999</v>
      </c>
    </row>
    <row r="214" spans="1:2" x14ac:dyDescent="0.2">
      <c r="A214" s="57">
        <v>43675</v>
      </c>
      <c r="B214">
        <v>1.1119000000000001</v>
      </c>
    </row>
    <row r="215" spans="1:2" x14ac:dyDescent="0.2">
      <c r="A215" s="57">
        <v>43674</v>
      </c>
    </row>
    <row r="216" spans="1:2" x14ac:dyDescent="0.2">
      <c r="A216" s="57">
        <v>43673</v>
      </c>
    </row>
    <row r="217" spans="1:2" x14ac:dyDescent="0.2">
      <c r="A217" s="57">
        <v>43672</v>
      </c>
      <c r="B217">
        <v>1.1137999999999999</v>
      </c>
    </row>
    <row r="218" spans="1:2" x14ac:dyDescent="0.2">
      <c r="A218" s="57">
        <v>43671</v>
      </c>
      <c r="B218">
        <v>1.1114999999999999</v>
      </c>
    </row>
    <row r="219" spans="1:2" x14ac:dyDescent="0.2">
      <c r="A219" s="57">
        <v>43670</v>
      </c>
      <c r="B219">
        <v>1.1140000000000001</v>
      </c>
    </row>
    <row r="220" spans="1:2" x14ac:dyDescent="0.2">
      <c r="A220" s="57">
        <v>43669</v>
      </c>
      <c r="B220">
        <v>1.1173</v>
      </c>
    </row>
    <row r="221" spans="1:2" x14ac:dyDescent="0.2">
      <c r="A221" s="57">
        <v>43668</v>
      </c>
      <c r="B221">
        <v>1.1214999999999999</v>
      </c>
    </row>
    <row r="222" spans="1:2" x14ac:dyDescent="0.2">
      <c r="A222" s="57">
        <v>43667</v>
      </c>
    </row>
    <row r="223" spans="1:2" x14ac:dyDescent="0.2">
      <c r="A223" s="57">
        <v>43666</v>
      </c>
    </row>
    <row r="224" spans="1:2" x14ac:dyDescent="0.2">
      <c r="A224" s="57">
        <v>43665</v>
      </c>
      <c r="B224">
        <v>1.1226</v>
      </c>
    </row>
    <row r="225" spans="1:2" x14ac:dyDescent="0.2">
      <c r="A225" s="57">
        <v>43664</v>
      </c>
      <c r="B225">
        <v>1.1215999999999999</v>
      </c>
    </row>
    <row r="226" spans="1:2" x14ac:dyDescent="0.2">
      <c r="A226" s="57">
        <v>43663</v>
      </c>
      <c r="B226">
        <v>1.1214999999999999</v>
      </c>
    </row>
    <row r="227" spans="1:2" x14ac:dyDescent="0.2">
      <c r="A227" s="57">
        <v>43662</v>
      </c>
      <c r="B227">
        <v>1.1223000000000001</v>
      </c>
    </row>
    <row r="228" spans="1:2" x14ac:dyDescent="0.2">
      <c r="A228" s="57">
        <v>43661</v>
      </c>
      <c r="B228">
        <v>1.1269</v>
      </c>
    </row>
    <row r="229" spans="1:2" x14ac:dyDescent="0.2">
      <c r="A229" s="57">
        <v>43660</v>
      </c>
    </row>
    <row r="230" spans="1:2" x14ac:dyDescent="0.2">
      <c r="A230" s="57">
        <v>43659</v>
      </c>
    </row>
    <row r="231" spans="1:2" x14ac:dyDescent="0.2">
      <c r="A231" s="57">
        <v>43658</v>
      </c>
      <c r="B231">
        <v>1.1253</v>
      </c>
    </row>
    <row r="232" spans="1:2" x14ac:dyDescent="0.2">
      <c r="A232" s="57">
        <v>43657</v>
      </c>
      <c r="B232">
        <v>1.1285000000000001</v>
      </c>
    </row>
    <row r="233" spans="1:2" x14ac:dyDescent="0.2">
      <c r="A233" s="57">
        <v>43656</v>
      </c>
      <c r="B233">
        <v>1.1220000000000001</v>
      </c>
    </row>
    <row r="234" spans="1:2" x14ac:dyDescent="0.2">
      <c r="A234" s="57">
        <v>43655</v>
      </c>
      <c r="B234">
        <v>1.1205000000000001</v>
      </c>
    </row>
    <row r="235" spans="1:2" x14ac:dyDescent="0.2">
      <c r="A235" s="57">
        <v>43654</v>
      </c>
      <c r="B235">
        <v>1.1214999999999999</v>
      </c>
    </row>
    <row r="236" spans="1:2" x14ac:dyDescent="0.2">
      <c r="A236" s="57">
        <v>43653</v>
      </c>
    </row>
    <row r="237" spans="1:2" x14ac:dyDescent="0.2">
      <c r="A237" s="57">
        <v>43652</v>
      </c>
    </row>
    <row r="238" spans="1:2" x14ac:dyDescent="0.2">
      <c r="A238" s="57">
        <v>43651</v>
      </c>
      <c r="B238">
        <v>1.1259999999999999</v>
      </c>
    </row>
    <row r="239" spans="1:2" x14ac:dyDescent="0.2">
      <c r="A239" s="57">
        <v>43650</v>
      </c>
      <c r="B239">
        <v>1.1288</v>
      </c>
    </row>
    <row r="240" spans="1:2" x14ac:dyDescent="0.2">
      <c r="A240" s="57">
        <v>43649</v>
      </c>
      <c r="B240">
        <v>1.1293</v>
      </c>
    </row>
    <row r="241" spans="1:2" x14ac:dyDescent="0.2">
      <c r="A241" s="57">
        <v>43648</v>
      </c>
      <c r="B241">
        <v>1.1301000000000001</v>
      </c>
    </row>
    <row r="242" spans="1:2" x14ac:dyDescent="0.2">
      <c r="A242" s="57">
        <v>43647</v>
      </c>
      <c r="B242">
        <v>1.1349</v>
      </c>
    </row>
    <row r="243" spans="1:2" x14ac:dyDescent="0.2">
      <c r="A243" s="57">
        <v>43646</v>
      </c>
    </row>
    <row r="244" spans="1:2" x14ac:dyDescent="0.2">
      <c r="A244" s="57">
        <v>43645</v>
      </c>
    </row>
    <row r="245" spans="1:2" x14ac:dyDescent="0.2">
      <c r="A245" s="57">
        <v>43644</v>
      </c>
      <c r="B245">
        <v>1.1379999999999999</v>
      </c>
    </row>
    <row r="246" spans="1:2" x14ac:dyDescent="0.2">
      <c r="A246" s="57">
        <v>43643</v>
      </c>
      <c r="B246">
        <v>1.137</v>
      </c>
    </row>
    <row r="247" spans="1:2" x14ac:dyDescent="0.2">
      <c r="A247" s="57">
        <v>43642</v>
      </c>
      <c r="B247">
        <v>1.1362000000000001</v>
      </c>
    </row>
    <row r="248" spans="1:2" x14ac:dyDescent="0.2">
      <c r="A248" s="57">
        <v>43641</v>
      </c>
      <c r="B248">
        <v>1.1388</v>
      </c>
    </row>
    <row r="249" spans="1:2" x14ac:dyDescent="0.2">
      <c r="A249" s="57">
        <v>43640</v>
      </c>
      <c r="B249">
        <v>1.1394</v>
      </c>
    </row>
    <row r="250" spans="1:2" x14ac:dyDescent="0.2">
      <c r="A250" s="57">
        <v>43639</v>
      </c>
    </row>
    <row r="251" spans="1:2" x14ac:dyDescent="0.2">
      <c r="A251" s="57">
        <v>43638</v>
      </c>
    </row>
    <row r="252" spans="1:2" x14ac:dyDescent="0.2">
      <c r="A252" s="57">
        <v>43637</v>
      </c>
      <c r="B252">
        <v>1.1315999999999999</v>
      </c>
    </row>
    <row r="253" spans="1:2" x14ac:dyDescent="0.2">
      <c r="A253" s="57">
        <v>43636</v>
      </c>
      <c r="B253">
        <v>1.1307</v>
      </c>
    </row>
    <row r="254" spans="1:2" x14ac:dyDescent="0.2">
      <c r="A254" s="57">
        <v>43635</v>
      </c>
      <c r="B254">
        <v>1.1207</v>
      </c>
    </row>
    <row r="255" spans="1:2" x14ac:dyDescent="0.2">
      <c r="A255" s="57">
        <v>43634</v>
      </c>
      <c r="B255">
        <v>1.1187</v>
      </c>
    </row>
    <row r="256" spans="1:2" x14ac:dyDescent="0.2">
      <c r="A256" s="57">
        <v>43633</v>
      </c>
      <c r="B256">
        <v>1.1234</v>
      </c>
    </row>
    <row r="257" spans="1:2" x14ac:dyDescent="0.2">
      <c r="A257" s="57">
        <v>43632</v>
      </c>
    </row>
    <row r="258" spans="1:2" x14ac:dyDescent="0.2">
      <c r="A258" s="57">
        <v>43631</v>
      </c>
    </row>
    <row r="259" spans="1:2" x14ac:dyDescent="0.2">
      <c r="A259" s="57">
        <v>43630</v>
      </c>
      <c r="B259">
        <v>1.1265000000000001</v>
      </c>
    </row>
    <row r="260" spans="1:2" x14ac:dyDescent="0.2">
      <c r="A260" s="57">
        <v>43629</v>
      </c>
      <c r="B260">
        <v>1.1289</v>
      </c>
    </row>
    <row r="261" spans="1:2" x14ac:dyDescent="0.2">
      <c r="A261" s="57">
        <v>43628</v>
      </c>
      <c r="B261">
        <v>1.1323000000000001</v>
      </c>
    </row>
    <row r="262" spans="1:2" x14ac:dyDescent="0.2">
      <c r="A262" s="57">
        <v>43627</v>
      </c>
      <c r="B262">
        <v>1.1319999999999999</v>
      </c>
    </row>
    <row r="263" spans="1:2" x14ac:dyDescent="0.2">
      <c r="A263" s="57">
        <v>43626</v>
      </c>
      <c r="B263">
        <v>1.1301000000000001</v>
      </c>
    </row>
    <row r="264" spans="1:2" x14ac:dyDescent="0.2">
      <c r="A264" s="57">
        <v>43625</v>
      </c>
    </row>
    <row r="265" spans="1:2" x14ac:dyDescent="0.2">
      <c r="A265" s="57">
        <v>43624</v>
      </c>
    </row>
    <row r="266" spans="1:2" x14ac:dyDescent="0.2">
      <c r="A266" s="57">
        <v>43623</v>
      </c>
      <c r="B266">
        <v>1.1273</v>
      </c>
    </row>
    <row r="267" spans="1:2" x14ac:dyDescent="0.2">
      <c r="A267" s="57">
        <v>43622</v>
      </c>
      <c r="B267">
        <v>1.1266</v>
      </c>
    </row>
    <row r="268" spans="1:2" x14ac:dyDescent="0.2">
      <c r="A268" s="57">
        <v>43621</v>
      </c>
      <c r="B268">
        <v>1.1256999999999999</v>
      </c>
    </row>
    <row r="269" spans="1:2" x14ac:dyDescent="0.2">
      <c r="A269" s="57">
        <v>43620</v>
      </c>
      <c r="B269">
        <v>1.1244000000000001</v>
      </c>
    </row>
    <row r="270" spans="1:2" x14ac:dyDescent="0.2">
      <c r="A270" s="57">
        <v>43619</v>
      </c>
      <c r="B270">
        <v>1.1185</v>
      </c>
    </row>
    <row r="271" spans="1:2" x14ac:dyDescent="0.2">
      <c r="A271" s="57">
        <v>43618</v>
      </c>
    </row>
    <row r="272" spans="1:2" x14ac:dyDescent="0.2">
      <c r="A272" s="57">
        <v>43617</v>
      </c>
    </row>
    <row r="273" spans="1:2" x14ac:dyDescent="0.2">
      <c r="A273" s="57">
        <v>43616</v>
      </c>
      <c r="B273">
        <v>1.1151</v>
      </c>
    </row>
    <row r="274" spans="1:2" x14ac:dyDescent="0.2">
      <c r="A274" s="57">
        <v>43615</v>
      </c>
      <c r="B274">
        <v>1.1133999999999999</v>
      </c>
    </row>
    <row r="275" spans="1:2" x14ac:dyDescent="0.2">
      <c r="A275" s="57">
        <v>43614</v>
      </c>
      <c r="B275">
        <v>1.1155999999999999</v>
      </c>
    </row>
    <row r="276" spans="1:2" x14ac:dyDescent="0.2">
      <c r="A276" s="57">
        <v>43613</v>
      </c>
      <c r="B276">
        <v>1.1192</v>
      </c>
    </row>
    <row r="277" spans="1:2" x14ac:dyDescent="0.2">
      <c r="A277" s="57">
        <v>43612</v>
      </c>
      <c r="B277">
        <v>1.1197999999999999</v>
      </c>
    </row>
    <row r="278" spans="1:2" x14ac:dyDescent="0.2">
      <c r="A278" s="57">
        <v>43611</v>
      </c>
    </row>
    <row r="279" spans="1:2" x14ac:dyDescent="0.2">
      <c r="A279" s="57">
        <v>43610</v>
      </c>
    </row>
    <row r="280" spans="1:2" x14ac:dyDescent="0.2">
      <c r="A280" s="57">
        <v>43609</v>
      </c>
      <c r="B280">
        <v>1.1187</v>
      </c>
    </row>
    <row r="281" spans="1:2" x14ac:dyDescent="0.2">
      <c r="A281" s="57">
        <v>43608</v>
      </c>
      <c r="B281">
        <v>1.1138999999999999</v>
      </c>
    </row>
    <row r="282" spans="1:2" x14ac:dyDescent="0.2">
      <c r="A282" s="57">
        <v>43607</v>
      </c>
      <c r="B282">
        <v>1.1171</v>
      </c>
    </row>
    <row r="283" spans="1:2" x14ac:dyDescent="0.2">
      <c r="A283" s="57">
        <v>43606</v>
      </c>
      <c r="B283">
        <v>1.1161000000000001</v>
      </c>
    </row>
    <row r="284" spans="1:2" x14ac:dyDescent="0.2">
      <c r="A284" s="57">
        <v>43605</v>
      </c>
      <c r="B284">
        <v>1.1167</v>
      </c>
    </row>
    <row r="285" spans="1:2" x14ac:dyDescent="0.2">
      <c r="A285" s="57">
        <v>43604</v>
      </c>
    </row>
    <row r="286" spans="1:2" x14ac:dyDescent="0.2">
      <c r="A286" s="57">
        <v>43603</v>
      </c>
    </row>
    <row r="287" spans="1:2" x14ac:dyDescent="0.2">
      <c r="A287" s="57">
        <v>43602</v>
      </c>
      <c r="B287">
        <v>1.1172</v>
      </c>
    </row>
    <row r="288" spans="1:2" x14ac:dyDescent="0.2">
      <c r="A288" s="57">
        <v>43601</v>
      </c>
      <c r="B288">
        <v>1.1203000000000001</v>
      </c>
    </row>
    <row r="289" spans="1:2" x14ac:dyDescent="0.2">
      <c r="A289" s="57">
        <v>43600</v>
      </c>
      <c r="B289">
        <v>1.1183000000000001</v>
      </c>
    </row>
    <row r="290" spans="1:2" x14ac:dyDescent="0.2">
      <c r="A290" s="57">
        <v>43599</v>
      </c>
      <c r="B290">
        <v>1.1226</v>
      </c>
    </row>
    <row r="291" spans="1:2" x14ac:dyDescent="0.2">
      <c r="A291" s="57">
        <v>43598</v>
      </c>
      <c r="B291">
        <v>1.1245000000000001</v>
      </c>
    </row>
    <row r="292" spans="1:2" x14ac:dyDescent="0.2">
      <c r="A292" s="57">
        <v>43597</v>
      </c>
    </row>
    <row r="293" spans="1:2" x14ac:dyDescent="0.2">
      <c r="A293" s="57">
        <v>43596</v>
      </c>
    </row>
    <row r="294" spans="1:2" x14ac:dyDescent="0.2">
      <c r="A294" s="57">
        <v>43595</v>
      </c>
      <c r="B294">
        <v>1.123</v>
      </c>
    </row>
    <row r="295" spans="1:2" x14ac:dyDescent="0.2">
      <c r="A295" s="57">
        <v>43594</v>
      </c>
      <c r="B295">
        <v>1.1193</v>
      </c>
    </row>
    <row r="296" spans="1:2" x14ac:dyDescent="0.2">
      <c r="A296" s="57">
        <v>43593</v>
      </c>
      <c r="B296">
        <v>1.1202000000000001</v>
      </c>
    </row>
    <row r="297" spans="1:2" x14ac:dyDescent="0.2">
      <c r="A297" s="57">
        <v>43592</v>
      </c>
      <c r="B297">
        <v>1.1185</v>
      </c>
    </row>
    <row r="298" spans="1:2" x14ac:dyDescent="0.2">
      <c r="A298" s="57">
        <v>43591</v>
      </c>
      <c r="B298">
        <v>1.1198999999999999</v>
      </c>
    </row>
    <row r="299" spans="1:2" x14ac:dyDescent="0.2">
      <c r="A299" s="57">
        <v>43590</v>
      </c>
    </row>
    <row r="300" spans="1:2" x14ac:dyDescent="0.2">
      <c r="A300" s="57">
        <v>43589</v>
      </c>
    </row>
    <row r="301" spans="1:2" x14ac:dyDescent="0.2">
      <c r="A301" s="57">
        <v>43588</v>
      </c>
      <c r="B301">
        <v>1.1154999999999999</v>
      </c>
    </row>
    <row r="302" spans="1:2" x14ac:dyDescent="0.2">
      <c r="A302" s="57">
        <v>43587</v>
      </c>
      <c r="B302">
        <v>1.1212</v>
      </c>
    </row>
    <row r="303" spans="1:2" x14ac:dyDescent="0.2">
      <c r="A303" s="57">
        <v>43586</v>
      </c>
    </row>
    <row r="304" spans="1:2" x14ac:dyDescent="0.2">
      <c r="A304" s="57">
        <v>43585</v>
      </c>
      <c r="B304">
        <v>1.1217999999999999</v>
      </c>
    </row>
    <row r="305" spans="1:2" x14ac:dyDescent="0.2">
      <c r="A305" s="57">
        <v>43584</v>
      </c>
      <c r="B305">
        <v>1.115</v>
      </c>
    </row>
    <row r="306" spans="1:2" x14ac:dyDescent="0.2">
      <c r="A306" s="57">
        <v>43583</v>
      </c>
    </row>
    <row r="307" spans="1:2" x14ac:dyDescent="0.2">
      <c r="A307" s="57">
        <v>43582</v>
      </c>
    </row>
    <row r="308" spans="1:2" x14ac:dyDescent="0.2">
      <c r="A308" s="57">
        <v>43581</v>
      </c>
      <c r="B308">
        <v>1.1133</v>
      </c>
    </row>
    <row r="309" spans="1:2" x14ac:dyDescent="0.2">
      <c r="A309" s="57">
        <v>43580</v>
      </c>
      <c r="B309">
        <v>1.1123000000000001</v>
      </c>
    </row>
    <row r="310" spans="1:2" x14ac:dyDescent="0.2">
      <c r="A310" s="57">
        <v>43579</v>
      </c>
      <c r="B310">
        <v>1.1209</v>
      </c>
    </row>
    <row r="311" spans="1:2" x14ac:dyDescent="0.2">
      <c r="A311" s="57">
        <v>43578</v>
      </c>
      <c r="B311">
        <v>1.1245000000000001</v>
      </c>
    </row>
    <row r="312" spans="1:2" x14ac:dyDescent="0.2">
      <c r="A312" s="57">
        <v>43577</v>
      </c>
    </row>
    <row r="313" spans="1:2" x14ac:dyDescent="0.2">
      <c r="A313" s="57">
        <v>43576</v>
      </c>
    </row>
    <row r="314" spans="1:2" x14ac:dyDescent="0.2">
      <c r="A314" s="57">
        <v>43575</v>
      </c>
    </row>
    <row r="315" spans="1:2" x14ac:dyDescent="0.2">
      <c r="A315" s="57">
        <v>43574</v>
      </c>
    </row>
    <row r="316" spans="1:2" x14ac:dyDescent="0.2">
      <c r="A316" s="57">
        <v>43573</v>
      </c>
      <c r="B316">
        <v>1.125</v>
      </c>
    </row>
    <row r="317" spans="1:2" x14ac:dyDescent="0.2">
      <c r="A317" s="57">
        <v>43572</v>
      </c>
      <c r="B317">
        <v>1.1301000000000001</v>
      </c>
    </row>
    <row r="318" spans="1:2" x14ac:dyDescent="0.2">
      <c r="A318" s="57">
        <v>43571</v>
      </c>
      <c r="B318">
        <v>1.1305000000000001</v>
      </c>
    </row>
    <row r="319" spans="1:2" x14ac:dyDescent="0.2">
      <c r="A319" s="57">
        <v>43570</v>
      </c>
      <c r="B319">
        <v>1.1313</v>
      </c>
    </row>
    <row r="320" spans="1:2" x14ac:dyDescent="0.2">
      <c r="A320" s="57">
        <v>43569</v>
      </c>
    </row>
    <row r="321" spans="1:2" x14ac:dyDescent="0.2">
      <c r="A321" s="57">
        <v>43568</v>
      </c>
    </row>
    <row r="322" spans="1:2" x14ac:dyDescent="0.2">
      <c r="A322" s="57">
        <v>43567</v>
      </c>
      <c r="B322">
        <v>1.1321000000000001</v>
      </c>
    </row>
    <row r="323" spans="1:2" x14ac:dyDescent="0.2">
      <c r="A323" s="57">
        <v>43566</v>
      </c>
      <c r="B323">
        <v>1.1264000000000001</v>
      </c>
    </row>
    <row r="324" spans="1:2" x14ac:dyDescent="0.2">
      <c r="A324" s="57">
        <v>43565</v>
      </c>
      <c r="B324">
        <v>1.1278999999999999</v>
      </c>
    </row>
    <row r="325" spans="1:2" x14ac:dyDescent="0.2">
      <c r="A325" s="57">
        <v>43564</v>
      </c>
      <c r="B325">
        <v>1.1276999999999999</v>
      </c>
    </row>
    <row r="326" spans="1:2" x14ac:dyDescent="0.2">
      <c r="A326" s="57">
        <v>43563</v>
      </c>
      <c r="B326">
        <v>1.1246</v>
      </c>
    </row>
    <row r="327" spans="1:2" x14ac:dyDescent="0.2">
      <c r="A327" s="57">
        <v>43562</v>
      </c>
    </row>
    <row r="328" spans="1:2" x14ac:dyDescent="0.2">
      <c r="A328" s="57">
        <v>43561</v>
      </c>
    </row>
    <row r="329" spans="1:2" x14ac:dyDescent="0.2">
      <c r="A329" s="57">
        <v>43560</v>
      </c>
      <c r="B329">
        <v>1.1233</v>
      </c>
    </row>
    <row r="330" spans="1:2" x14ac:dyDescent="0.2">
      <c r="A330" s="57">
        <v>43559</v>
      </c>
      <c r="B330">
        <v>1.1218999999999999</v>
      </c>
    </row>
    <row r="331" spans="1:2" x14ac:dyDescent="0.2">
      <c r="A331" s="57">
        <v>43558</v>
      </c>
      <c r="B331">
        <v>1.1243000000000001</v>
      </c>
    </row>
    <row r="332" spans="1:2" x14ac:dyDescent="0.2">
      <c r="A332" s="57">
        <v>43557</v>
      </c>
      <c r="B332">
        <v>1.1200000000000001</v>
      </c>
    </row>
    <row r="333" spans="1:2" x14ac:dyDescent="0.2">
      <c r="A333" s="57">
        <v>43556</v>
      </c>
      <c r="B333">
        <v>1.1235999999999999</v>
      </c>
    </row>
    <row r="334" spans="1:2" x14ac:dyDescent="0.2">
      <c r="A334" s="57">
        <v>43555</v>
      </c>
    </row>
    <row r="335" spans="1:2" x14ac:dyDescent="0.2">
      <c r="A335" s="57">
        <v>43554</v>
      </c>
    </row>
    <row r="336" spans="1:2" x14ac:dyDescent="0.2">
      <c r="A336" s="57">
        <v>43553</v>
      </c>
      <c r="B336">
        <v>1.1234999999999999</v>
      </c>
    </row>
    <row r="337" spans="1:2" x14ac:dyDescent="0.2">
      <c r="A337" s="57">
        <v>43552</v>
      </c>
      <c r="B337">
        <v>1.1217999999999999</v>
      </c>
    </row>
    <row r="338" spans="1:2" x14ac:dyDescent="0.2">
      <c r="A338" s="57">
        <v>43551</v>
      </c>
      <c r="B338">
        <v>1.1261000000000001</v>
      </c>
    </row>
    <row r="339" spans="1:2" x14ac:dyDescent="0.2">
      <c r="A339" s="57">
        <v>43550</v>
      </c>
      <c r="B339">
        <v>1.1291</v>
      </c>
    </row>
    <row r="340" spans="1:2" x14ac:dyDescent="0.2">
      <c r="A340" s="57">
        <v>43549</v>
      </c>
      <c r="B340">
        <v>1.1325000000000001</v>
      </c>
    </row>
    <row r="341" spans="1:2" x14ac:dyDescent="0.2">
      <c r="A341" s="57">
        <v>43548</v>
      </c>
    </row>
    <row r="342" spans="1:2" x14ac:dyDescent="0.2">
      <c r="A342" s="57">
        <v>43547</v>
      </c>
    </row>
    <row r="343" spans="1:2" x14ac:dyDescent="0.2">
      <c r="A343" s="57">
        <v>43546</v>
      </c>
      <c r="B343">
        <v>1.1302000000000001</v>
      </c>
    </row>
    <row r="344" spans="1:2" x14ac:dyDescent="0.2">
      <c r="A344" s="57">
        <v>43545</v>
      </c>
      <c r="B344">
        <v>1.1387</v>
      </c>
    </row>
    <row r="345" spans="1:2" x14ac:dyDescent="0.2">
      <c r="A345" s="57">
        <v>43544</v>
      </c>
      <c r="B345">
        <v>1.1354</v>
      </c>
    </row>
    <row r="346" spans="1:2" x14ac:dyDescent="0.2">
      <c r="A346" s="57">
        <v>43543</v>
      </c>
      <c r="B346">
        <v>1.1357999999999999</v>
      </c>
    </row>
    <row r="347" spans="1:2" x14ac:dyDescent="0.2">
      <c r="A347" s="57">
        <v>43542</v>
      </c>
      <c r="B347">
        <v>1.1349</v>
      </c>
    </row>
    <row r="348" spans="1:2" x14ac:dyDescent="0.2">
      <c r="A348" s="57">
        <v>43541</v>
      </c>
    </row>
    <row r="349" spans="1:2" x14ac:dyDescent="0.2">
      <c r="A349" s="57">
        <v>43540</v>
      </c>
    </row>
    <row r="350" spans="1:2" x14ac:dyDescent="0.2">
      <c r="A350" s="57">
        <v>43539</v>
      </c>
      <c r="B350">
        <v>1.1308</v>
      </c>
    </row>
    <row r="351" spans="1:2" x14ac:dyDescent="0.2">
      <c r="A351" s="57">
        <v>43538</v>
      </c>
      <c r="B351">
        <v>1.1294999999999999</v>
      </c>
    </row>
    <row r="352" spans="1:2" x14ac:dyDescent="0.2">
      <c r="A352" s="57">
        <v>43537</v>
      </c>
      <c r="B352">
        <v>1.1303000000000001</v>
      </c>
    </row>
    <row r="353" spans="1:2" x14ac:dyDescent="0.2">
      <c r="A353" s="57">
        <v>43536</v>
      </c>
      <c r="B353">
        <v>1.1274999999999999</v>
      </c>
    </row>
    <row r="354" spans="1:2" x14ac:dyDescent="0.2">
      <c r="A354" s="57">
        <v>43535</v>
      </c>
      <c r="B354">
        <v>1.1244000000000001</v>
      </c>
    </row>
    <row r="355" spans="1:2" x14ac:dyDescent="0.2">
      <c r="A355" s="57">
        <v>43534</v>
      </c>
    </row>
    <row r="356" spans="1:2" x14ac:dyDescent="0.2">
      <c r="A356" s="57">
        <v>43533</v>
      </c>
    </row>
    <row r="357" spans="1:2" x14ac:dyDescent="0.2">
      <c r="A357" s="57">
        <v>43532</v>
      </c>
      <c r="B357">
        <v>1.1222000000000001</v>
      </c>
    </row>
    <row r="358" spans="1:2" x14ac:dyDescent="0.2">
      <c r="A358" s="57">
        <v>43531</v>
      </c>
      <c r="B358">
        <v>1.1271</v>
      </c>
    </row>
    <row r="359" spans="1:2" x14ac:dyDescent="0.2">
      <c r="A359" s="57">
        <v>43530</v>
      </c>
      <c r="B359">
        <v>1.1305000000000001</v>
      </c>
    </row>
    <row r="360" spans="1:2" x14ac:dyDescent="0.2">
      <c r="A360" s="57">
        <v>43529</v>
      </c>
      <c r="B360">
        <v>1.1329</v>
      </c>
    </row>
    <row r="361" spans="1:2" x14ac:dyDescent="0.2">
      <c r="A361" s="57">
        <v>43528</v>
      </c>
      <c r="B361">
        <v>1.1336999999999999</v>
      </c>
    </row>
    <row r="362" spans="1:2" x14ac:dyDescent="0.2">
      <c r="A362" s="57">
        <v>43527</v>
      </c>
    </row>
    <row r="363" spans="1:2" x14ac:dyDescent="0.2">
      <c r="A363" s="57">
        <v>43526</v>
      </c>
    </row>
    <row r="364" spans="1:2" x14ac:dyDescent="0.2">
      <c r="A364" s="57">
        <v>43525</v>
      </c>
      <c r="B364">
        <v>1.1383000000000001</v>
      </c>
    </row>
    <row r="365" spans="1:2" x14ac:dyDescent="0.2">
      <c r="A365" s="57">
        <v>43524</v>
      </c>
      <c r="B365">
        <v>1.1415999999999999</v>
      </c>
    </row>
    <row r="366" spans="1:2" x14ac:dyDescent="0.2">
      <c r="A366" s="57">
        <v>43523</v>
      </c>
      <c r="B366">
        <v>1.1386000000000001</v>
      </c>
    </row>
    <row r="367" spans="1:2" x14ac:dyDescent="0.2">
      <c r="A367" s="57">
        <v>43522</v>
      </c>
      <c r="B367">
        <v>1.1361000000000001</v>
      </c>
    </row>
    <row r="368" spans="1:2" x14ac:dyDescent="0.2">
      <c r="A368" s="57">
        <v>43521</v>
      </c>
      <c r="B368">
        <v>1.1355</v>
      </c>
    </row>
    <row r="369" spans="1:2" x14ac:dyDescent="0.2">
      <c r="A369" s="57">
        <v>43520</v>
      </c>
    </row>
    <row r="370" spans="1:2" x14ac:dyDescent="0.2">
      <c r="A370" s="57">
        <v>43519</v>
      </c>
    </row>
    <row r="371" spans="1:2" x14ac:dyDescent="0.2">
      <c r="A371" s="57">
        <v>43518</v>
      </c>
      <c r="B371">
        <v>1.1325000000000001</v>
      </c>
    </row>
    <row r="372" spans="1:2" x14ac:dyDescent="0.2">
      <c r="A372" s="57">
        <v>43517</v>
      </c>
      <c r="B372">
        <v>1.1354</v>
      </c>
    </row>
    <row r="373" spans="1:2" x14ac:dyDescent="0.2">
      <c r="A373" s="57">
        <v>43516</v>
      </c>
      <c r="B373">
        <v>1.1342000000000001</v>
      </c>
    </row>
    <row r="374" spans="1:2" x14ac:dyDescent="0.2">
      <c r="A374" s="57">
        <v>43515</v>
      </c>
      <c r="B374">
        <v>1.1294</v>
      </c>
    </row>
    <row r="375" spans="1:2" x14ac:dyDescent="0.2">
      <c r="A375" s="57">
        <v>43514</v>
      </c>
      <c r="B375">
        <v>1.1328</v>
      </c>
    </row>
    <row r="376" spans="1:2" x14ac:dyDescent="0.2">
      <c r="A376" s="57">
        <v>43513</v>
      </c>
    </row>
    <row r="377" spans="1:2" x14ac:dyDescent="0.2">
      <c r="A377" s="57">
        <v>43512</v>
      </c>
    </row>
    <row r="378" spans="1:2" x14ac:dyDescent="0.2">
      <c r="A378" s="57">
        <v>43511</v>
      </c>
      <c r="B378">
        <v>1.1259999999999999</v>
      </c>
    </row>
    <row r="379" spans="1:2" x14ac:dyDescent="0.2">
      <c r="A379" s="57">
        <v>43510</v>
      </c>
      <c r="B379">
        <v>1.1268</v>
      </c>
    </row>
    <row r="380" spans="1:2" x14ac:dyDescent="0.2">
      <c r="A380" s="57">
        <v>43509</v>
      </c>
      <c r="B380">
        <v>1.1305000000000001</v>
      </c>
    </row>
    <row r="381" spans="1:2" x14ac:dyDescent="0.2">
      <c r="A381" s="57">
        <v>43508</v>
      </c>
      <c r="B381">
        <v>1.1295999999999999</v>
      </c>
    </row>
    <row r="382" spans="1:2" x14ac:dyDescent="0.2">
      <c r="A382" s="57">
        <v>43507</v>
      </c>
      <c r="B382">
        <v>1.1309</v>
      </c>
    </row>
    <row r="383" spans="1:2" x14ac:dyDescent="0.2">
      <c r="A383" s="57">
        <v>43506</v>
      </c>
    </row>
    <row r="384" spans="1:2" x14ac:dyDescent="0.2">
      <c r="A384" s="57">
        <v>43505</v>
      </c>
    </row>
    <row r="385" spans="1:2" x14ac:dyDescent="0.2">
      <c r="A385" s="57">
        <v>43504</v>
      </c>
      <c r="B385">
        <v>1.1346000000000001</v>
      </c>
    </row>
    <row r="386" spans="1:2" x14ac:dyDescent="0.2">
      <c r="A386" s="57">
        <v>43503</v>
      </c>
      <c r="B386">
        <v>1.1345000000000001</v>
      </c>
    </row>
    <row r="387" spans="1:2" x14ac:dyDescent="0.2">
      <c r="A387" s="57">
        <v>43502</v>
      </c>
      <c r="B387">
        <v>1.1394</v>
      </c>
    </row>
    <row r="388" spans="1:2" x14ac:dyDescent="0.2">
      <c r="A388" s="57">
        <v>43501</v>
      </c>
      <c r="B388">
        <v>1.1423000000000001</v>
      </c>
    </row>
    <row r="389" spans="1:2" x14ac:dyDescent="0.2">
      <c r="A389" s="57">
        <v>43500</v>
      </c>
      <c r="B389">
        <v>1.1445000000000001</v>
      </c>
    </row>
    <row r="390" spans="1:2" x14ac:dyDescent="0.2">
      <c r="A390" s="57">
        <v>43499</v>
      </c>
    </row>
    <row r="391" spans="1:2" x14ac:dyDescent="0.2">
      <c r="A391" s="57">
        <v>43498</v>
      </c>
    </row>
    <row r="392" spans="1:2" x14ac:dyDescent="0.2">
      <c r="A392" s="57">
        <v>43497</v>
      </c>
      <c r="B392">
        <v>1.1471</v>
      </c>
    </row>
    <row r="393" spans="1:2" x14ac:dyDescent="0.2">
      <c r="A393" s="57">
        <v>43496</v>
      </c>
      <c r="B393">
        <v>1.1488</v>
      </c>
    </row>
    <row r="394" spans="1:2" x14ac:dyDescent="0.2">
      <c r="A394" s="57">
        <v>43495</v>
      </c>
      <c r="B394">
        <v>1.1429</v>
      </c>
    </row>
    <row r="395" spans="1:2" x14ac:dyDescent="0.2">
      <c r="A395" s="57">
        <v>43494</v>
      </c>
      <c r="B395">
        <v>1.1422000000000001</v>
      </c>
    </row>
    <row r="396" spans="1:2" x14ac:dyDescent="0.2">
      <c r="A396" s="57">
        <v>43493</v>
      </c>
      <c r="B396">
        <v>1.1417999999999999</v>
      </c>
    </row>
    <row r="397" spans="1:2" x14ac:dyDescent="0.2">
      <c r="A397" s="57">
        <v>43492</v>
      </c>
    </row>
    <row r="398" spans="1:2" x14ac:dyDescent="0.2">
      <c r="A398" s="57">
        <v>43491</v>
      </c>
    </row>
    <row r="399" spans="1:2" x14ac:dyDescent="0.2">
      <c r="A399" s="57">
        <v>43490</v>
      </c>
      <c r="B399">
        <v>1.1346000000000001</v>
      </c>
    </row>
    <row r="400" spans="1:2" x14ac:dyDescent="0.2">
      <c r="A400" s="57">
        <v>43489</v>
      </c>
      <c r="B400">
        <v>1.1341000000000001</v>
      </c>
    </row>
    <row r="401" spans="1:2" x14ac:dyDescent="0.2">
      <c r="A401" s="57">
        <v>43488</v>
      </c>
      <c r="B401">
        <v>1.1367</v>
      </c>
    </row>
    <row r="402" spans="1:2" x14ac:dyDescent="0.2">
      <c r="A402" s="57">
        <v>43487</v>
      </c>
      <c r="B402">
        <v>1.1354</v>
      </c>
    </row>
    <row r="403" spans="1:2" x14ac:dyDescent="0.2">
      <c r="A403" s="57">
        <v>43486</v>
      </c>
      <c r="B403">
        <v>1.1362000000000001</v>
      </c>
    </row>
    <row r="404" spans="1:2" x14ac:dyDescent="0.2">
      <c r="A404" s="57">
        <v>43485</v>
      </c>
    </row>
    <row r="405" spans="1:2" x14ac:dyDescent="0.2">
      <c r="A405" s="57">
        <v>43484</v>
      </c>
    </row>
    <row r="406" spans="1:2" x14ac:dyDescent="0.2">
      <c r="A406" s="57">
        <v>43483</v>
      </c>
      <c r="B406">
        <v>1.1402000000000001</v>
      </c>
    </row>
    <row r="407" spans="1:2" x14ac:dyDescent="0.2">
      <c r="A407" s="57">
        <v>43482</v>
      </c>
      <c r="B407">
        <v>1.1395999999999999</v>
      </c>
    </row>
    <row r="408" spans="1:2" x14ac:dyDescent="0.2">
      <c r="A408" s="57">
        <v>43481</v>
      </c>
      <c r="B408">
        <v>1.1389</v>
      </c>
    </row>
    <row r="409" spans="1:2" x14ac:dyDescent="0.2">
      <c r="A409" s="57">
        <v>43480</v>
      </c>
      <c r="B409">
        <v>1.1424000000000001</v>
      </c>
    </row>
    <row r="410" spans="1:2" x14ac:dyDescent="0.2">
      <c r="A410" s="57">
        <v>43479</v>
      </c>
      <c r="B410">
        <v>1.1467000000000001</v>
      </c>
    </row>
    <row r="411" spans="1:2" x14ac:dyDescent="0.2">
      <c r="A411" s="57">
        <v>43478</v>
      </c>
    </row>
    <row r="412" spans="1:2" x14ac:dyDescent="0.2">
      <c r="A412" s="57">
        <v>43477</v>
      </c>
    </row>
    <row r="413" spans="1:2" x14ac:dyDescent="0.2">
      <c r="A413" s="57">
        <v>43476</v>
      </c>
      <c r="B413">
        <v>1.1533</v>
      </c>
    </row>
    <row r="414" spans="1:2" x14ac:dyDescent="0.2">
      <c r="A414" s="57">
        <v>43475</v>
      </c>
      <c r="B414">
        <v>1.1535</v>
      </c>
    </row>
    <row r="415" spans="1:2" x14ac:dyDescent="0.2">
      <c r="A415" s="57">
        <v>43474</v>
      </c>
      <c r="B415">
        <v>1.1455</v>
      </c>
    </row>
    <row r="416" spans="1:2" x14ac:dyDescent="0.2">
      <c r="A416" s="57">
        <v>43473</v>
      </c>
      <c r="B416">
        <v>1.1439999999999999</v>
      </c>
    </row>
    <row r="417" spans="1:2" x14ac:dyDescent="0.2">
      <c r="A417" s="57">
        <v>43472</v>
      </c>
      <c r="B417">
        <v>1.1445000000000001</v>
      </c>
    </row>
    <row r="418" spans="1:2" x14ac:dyDescent="0.2">
      <c r="A418" s="57">
        <v>43471</v>
      </c>
    </row>
    <row r="419" spans="1:2" x14ac:dyDescent="0.2">
      <c r="A419" s="57">
        <v>43470</v>
      </c>
    </row>
    <row r="420" spans="1:2" x14ac:dyDescent="0.2">
      <c r="A420" s="57">
        <v>43469</v>
      </c>
      <c r="B420">
        <v>1.1403000000000001</v>
      </c>
    </row>
    <row r="421" spans="1:2" x14ac:dyDescent="0.2">
      <c r="A421" s="57">
        <v>43468</v>
      </c>
      <c r="B421">
        <v>1.1348</v>
      </c>
    </row>
    <row r="422" spans="1:2" x14ac:dyDescent="0.2">
      <c r="A422" s="57">
        <v>43467</v>
      </c>
      <c r="B422">
        <v>1.1396999999999999</v>
      </c>
    </row>
    <row r="423" spans="1:2" x14ac:dyDescent="0.2">
      <c r="A423" s="57">
        <v>43466</v>
      </c>
    </row>
    <row r="424" spans="1:2" x14ac:dyDescent="0.2">
      <c r="A424" s="57">
        <v>43465</v>
      </c>
      <c r="B424">
        <v>1.145</v>
      </c>
    </row>
    <row r="425" spans="1:2" x14ac:dyDescent="0.2">
      <c r="A425" s="57">
        <v>43464</v>
      </c>
    </row>
    <row r="426" spans="1:2" x14ac:dyDescent="0.2">
      <c r="A426" s="57">
        <v>43463</v>
      </c>
    </row>
    <row r="427" spans="1:2" x14ac:dyDescent="0.2">
      <c r="A427" s="57">
        <v>43462</v>
      </c>
      <c r="B427">
        <v>1.1454</v>
      </c>
    </row>
    <row r="428" spans="1:2" x14ac:dyDescent="0.2">
      <c r="A428" s="57">
        <v>43461</v>
      </c>
      <c r="B428">
        <v>1.1376999999999999</v>
      </c>
    </row>
    <row r="429" spans="1:2" x14ac:dyDescent="0.2">
      <c r="A429" s="57">
        <v>43460</v>
      </c>
    </row>
    <row r="430" spans="1:2" x14ac:dyDescent="0.2">
      <c r="A430" s="57">
        <v>43459</v>
      </c>
    </row>
    <row r="431" spans="1:2" x14ac:dyDescent="0.2">
      <c r="A431" s="57">
        <v>43458</v>
      </c>
      <c r="B431">
        <v>1.1408</v>
      </c>
    </row>
    <row r="432" spans="1:2" x14ac:dyDescent="0.2">
      <c r="A432" s="57">
        <v>43457</v>
      </c>
    </row>
    <row r="433" spans="1:2" x14ac:dyDescent="0.2">
      <c r="A433" s="57">
        <v>43456</v>
      </c>
    </row>
    <row r="434" spans="1:2" x14ac:dyDescent="0.2">
      <c r="A434" s="57">
        <v>43455</v>
      </c>
      <c r="B434">
        <v>1.1414</v>
      </c>
    </row>
    <row r="435" spans="1:2" x14ac:dyDescent="0.2">
      <c r="A435" s="57">
        <v>43454</v>
      </c>
      <c r="B435">
        <v>1.1451</v>
      </c>
    </row>
    <row r="436" spans="1:2" x14ac:dyDescent="0.2">
      <c r="A436" s="57">
        <v>43453</v>
      </c>
      <c r="B436">
        <v>1.1405000000000001</v>
      </c>
    </row>
    <row r="437" spans="1:2" x14ac:dyDescent="0.2">
      <c r="A437" s="57">
        <v>43452</v>
      </c>
      <c r="B437">
        <v>1.1376999999999999</v>
      </c>
    </row>
    <row r="438" spans="1:2" x14ac:dyDescent="0.2">
      <c r="A438" s="57">
        <v>43451</v>
      </c>
      <c r="B438">
        <v>1.1341000000000001</v>
      </c>
    </row>
    <row r="439" spans="1:2" x14ac:dyDescent="0.2">
      <c r="A439" s="57">
        <v>43450</v>
      </c>
    </row>
    <row r="440" spans="1:2" x14ac:dyDescent="0.2">
      <c r="A440" s="57">
        <v>43449</v>
      </c>
    </row>
    <row r="441" spans="1:2" x14ac:dyDescent="0.2">
      <c r="A441" s="57">
        <v>43448</v>
      </c>
      <c r="B441">
        <v>1.1285000000000001</v>
      </c>
    </row>
    <row r="442" spans="1:2" x14ac:dyDescent="0.2">
      <c r="A442" s="57">
        <v>43447</v>
      </c>
      <c r="B442">
        <v>1.1371</v>
      </c>
    </row>
    <row r="443" spans="1:2" x14ac:dyDescent="0.2">
      <c r="A443" s="57">
        <v>43446</v>
      </c>
      <c r="B443">
        <v>1.1346000000000001</v>
      </c>
    </row>
    <row r="444" spans="1:2" x14ac:dyDescent="0.2">
      <c r="A444" s="57">
        <v>43445</v>
      </c>
      <c r="B444">
        <v>1.1378999999999999</v>
      </c>
    </row>
    <row r="445" spans="1:2" x14ac:dyDescent="0.2">
      <c r="A445" s="57">
        <v>43444</v>
      </c>
      <c r="B445">
        <v>1.1425000000000001</v>
      </c>
    </row>
    <row r="446" spans="1:2" x14ac:dyDescent="0.2">
      <c r="A446" s="57">
        <v>43443</v>
      </c>
    </row>
    <row r="447" spans="1:2" x14ac:dyDescent="0.2">
      <c r="A447" s="57">
        <v>43442</v>
      </c>
    </row>
    <row r="448" spans="1:2" x14ac:dyDescent="0.2">
      <c r="A448" s="57">
        <v>43441</v>
      </c>
      <c r="B448">
        <v>1.1371</v>
      </c>
    </row>
    <row r="449" spans="1:2" x14ac:dyDescent="0.2">
      <c r="A449" s="57">
        <v>43440</v>
      </c>
      <c r="B449">
        <v>1.1351</v>
      </c>
    </row>
    <row r="450" spans="1:2" x14ac:dyDescent="0.2">
      <c r="A450" s="57">
        <v>43439</v>
      </c>
      <c r="B450">
        <v>1.1354</v>
      </c>
    </row>
    <row r="451" spans="1:2" x14ac:dyDescent="0.2">
      <c r="A451" s="57">
        <v>43438</v>
      </c>
      <c r="B451">
        <v>1.1409</v>
      </c>
    </row>
    <row r="452" spans="1:2" x14ac:dyDescent="0.2">
      <c r="A452" s="57">
        <v>43437</v>
      </c>
      <c r="B452">
        <v>1.1332</v>
      </c>
    </row>
    <row r="453" spans="1:2" x14ac:dyDescent="0.2">
      <c r="A453" s="57">
        <v>43436</v>
      </c>
    </row>
    <row r="454" spans="1:2" x14ac:dyDescent="0.2">
      <c r="A454" s="57">
        <v>43435</v>
      </c>
    </row>
    <row r="455" spans="1:2" x14ac:dyDescent="0.2">
      <c r="A455" s="57">
        <v>43434</v>
      </c>
      <c r="B455">
        <v>1.1358999999999999</v>
      </c>
    </row>
    <row r="456" spans="1:2" x14ac:dyDescent="0.2">
      <c r="A456" s="57">
        <v>43433</v>
      </c>
      <c r="B456">
        <v>1.1387</v>
      </c>
    </row>
    <row r="457" spans="1:2" x14ac:dyDescent="0.2">
      <c r="A457" s="57">
        <v>43432</v>
      </c>
      <c r="B457">
        <v>1.1284000000000001</v>
      </c>
    </row>
    <row r="458" spans="1:2" x14ac:dyDescent="0.2">
      <c r="A458" s="57">
        <v>43431</v>
      </c>
      <c r="B458">
        <v>1.1328</v>
      </c>
    </row>
    <row r="459" spans="1:2" x14ac:dyDescent="0.2">
      <c r="A459" s="57">
        <v>43430</v>
      </c>
      <c r="B459">
        <v>1.1363000000000001</v>
      </c>
    </row>
    <row r="460" spans="1:2" x14ac:dyDescent="0.2">
      <c r="A460" s="57">
        <v>43429</v>
      </c>
    </row>
    <row r="461" spans="1:2" x14ac:dyDescent="0.2">
      <c r="A461" s="57">
        <v>43428</v>
      </c>
    </row>
    <row r="462" spans="1:2" x14ac:dyDescent="0.2">
      <c r="A462" s="57">
        <v>43427</v>
      </c>
      <c r="B462">
        <v>1.1352</v>
      </c>
    </row>
    <row r="463" spans="1:2" x14ac:dyDescent="0.2">
      <c r="A463" s="57">
        <v>43426</v>
      </c>
      <c r="B463">
        <v>1.1403000000000001</v>
      </c>
    </row>
    <row r="464" spans="1:2" x14ac:dyDescent="0.2">
      <c r="A464" s="57">
        <v>43425</v>
      </c>
      <c r="B464">
        <v>1.1409</v>
      </c>
    </row>
    <row r="465" spans="1:2" x14ac:dyDescent="0.2">
      <c r="A465" s="57">
        <v>43424</v>
      </c>
      <c r="B465">
        <v>1.1420999999999999</v>
      </c>
    </row>
    <row r="466" spans="1:2" x14ac:dyDescent="0.2">
      <c r="A466" s="57">
        <v>43423</v>
      </c>
      <c r="B466">
        <v>1.1427</v>
      </c>
    </row>
    <row r="467" spans="1:2" x14ac:dyDescent="0.2">
      <c r="A467" s="57">
        <v>43422</v>
      </c>
    </row>
    <row r="468" spans="1:2" x14ac:dyDescent="0.2">
      <c r="A468" s="57">
        <v>43421</v>
      </c>
    </row>
    <row r="469" spans="1:2" x14ac:dyDescent="0.2">
      <c r="A469" s="57">
        <v>43420</v>
      </c>
      <c r="B469">
        <v>1.1346000000000001</v>
      </c>
    </row>
    <row r="470" spans="1:2" x14ac:dyDescent="0.2">
      <c r="A470" s="57">
        <v>43419</v>
      </c>
      <c r="B470">
        <v>1.1305000000000001</v>
      </c>
    </row>
    <row r="471" spans="1:2" x14ac:dyDescent="0.2">
      <c r="A471" s="57">
        <v>43418</v>
      </c>
      <c r="B471">
        <v>1.1295999999999999</v>
      </c>
    </row>
    <row r="472" spans="1:2" x14ac:dyDescent="0.2">
      <c r="A472" s="57">
        <v>43417</v>
      </c>
      <c r="B472">
        <v>1.1261000000000001</v>
      </c>
    </row>
    <row r="473" spans="1:2" x14ac:dyDescent="0.2">
      <c r="A473" s="57">
        <v>43416</v>
      </c>
      <c r="B473">
        <v>1.1265000000000001</v>
      </c>
    </row>
    <row r="474" spans="1:2" x14ac:dyDescent="0.2">
      <c r="A474" s="57">
        <v>43415</v>
      </c>
    </row>
    <row r="475" spans="1:2" x14ac:dyDescent="0.2">
      <c r="A475" s="57">
        <v>43414</v>
      </c>
    </row>
    <row r="476" spans="1:2" x14ac:dyDescent="0.2">
      <c r="A476" s="57">
        <v>43413</v>
      </c>
      <c r="B476">
        <v>1.1346000000000001</v>
      </c>
    </row>
    <row r="477" spans="1:2" x14ac:dyDescent="0.2">
      <c r="A477" s="57">
        <v>43412</v>
      </c>
      <c r="B477">
        <v>1.1424000000000001</v>
      </c>
    </row>
    <row r="478" spans="1:2" x14ac:dyDescent="0.2">
      <c r="A478" s="57">
        <v>43411</v>
      </c>
      <c r="B478">
        <v>1.1487000000000001</v>
      </c>
    </row>
    <row r="479" spans="1:2" x14ac:dyDescent="0.2">
      <c r="A479" s="57">
        <v>43410</v>
      </c>
      <c r="B479">
        <v>1.1428</v>
      </c>
    </row>
    <row r="480" spans="1:2" x14ac:dyDescent="0.2">
      <c r="A480" s="57">
        <v>43409</v>
      </c>
      <c r="B480">
        <v>1.137</v>
      </c>
    </row>
    <row r="481" spans="1:2" x14ac:dyDescent="0.2">
      <c r="A481" s="57">
        <v>43408</v>
      </c>
    </row>
    <row r="482" spans="1:2" x14ac:dyDescent="0.2">
      <c r="A482" s="57">
        <v>43407</v>
      </c>
    </row>
    <row r="483" spans="1:2" x14ac:dyDescent="0.2">
      <c r="A483" s="57">
        <v>43406</v>
      </c>
      <c r="B483">
        <v>1.1416999999999999</v>
      </c>
    </row>
    <row r="484" spans="1:2" x14ac:dyDescent="0.2">
      <c r="A484" s="57">
        <v>43405</v>
      </c>
      <c r="B484">
        <v>1.1393</v>
      </c>
    </row>
    <row r="485" spans="1:2" x14ac:dyDescent="0.2">
      <c r="A485" s="57">
        <v>43404</v>
      </c>
      <c r="B485">
        <v>1.1317999999999999</v>
      </c>
    </row>
    <row r="486" spans="1:2" x14ac:dyDescent="0.2">
      <c r="A486" s="57">
        <v>43403</v>
      </c>
      <c r="B486">
        <v>1.1372</v>
      </c>
    </row>
    <row r="487" spans="1:2" x14ac:dyDescent="0.2">
      <c r="A487" s="57">
        <v>43402</v>
      </c>
      <c r="B487">
        <v>1.1380999999999999</v>
      </c>
    </row>
    <row r="488" spans="1:2" x14ac:dyDescent="0.2">
      <c r="A488" s="57">
        <v>43401</v>
      </c>
    </row>
    <row r="489" spans="1:2" x14ac:dyDescent="0.2">
      <c r="A489" s="57">
        <v>43400</v>
      </c>
    </row>
    <row r="490" spans="1:2" x14ac:dyDescent="0.2">
      <c r="A490" s="57">
        <v>43399</v>
      </c>
      <c r="B490">
        <v>1.1345000000000001</v>
      </c>
    </row>
    <row r="491" spans="1:2" x14ac:dyDescent="0.2">
      <c r="A491" s="57">
        <v>43398</v>
      </c>
      <c r="B491">
        <v>1.1415999999999999</v>
      </c>
    </row>
    <row r="492" spans="1:2" x14ac:dyDescent="0.2">
      <c r="A492" s="57">
        <v>43397</v>
      </c>
      <c r="B492">
        <v>1.1389</v>
      </c>
    </row>
    <row r="493" spans="1:2" x14ac:dyDescent="0.2">
      <c r="A493" s="57">
        <v>43396</v>
      </c>
      <c r="B493">
        <v>1.1477999999999999</v>
      </c>
    </row>
    <row r="494" spans="1:2" x14ac:dyDescent="0.2">
      <c r="A494" s="57">
        <v>43395</v>
      </c>
      <c r="B494">
        <v>1.1494</v>
      </c>
    </row>
    <row r="495" spans="1:2" x14ac:dyDescent="0.2">
      <c r="A495" s="57">
        <v>43394</v>
      </c>
    </row>
    <row r="496" spans="1:2" x14ac:dyDescent="0.2">
      <c r="A496" s="57">
        <v>43393</v>
      </c>
    </row>
    <row r="497" spans="1:2" x14ac:dyDescent="0.2">
      <c r="A497" s="57">
        <v>43392</v>
      </c>
      <c r="B497">
        <v>1.147</v>
      </c>
    </row>
    <row r="498" spans="1:2" x14ac:dyDescent="0.2">
      <c r="A498" s="57">
        <v>43391</v>
      </c>
      <c r="B498">
        <v>1.1505000000000001</v>
      </c>
    </row>
    <row r="499" spans="1:2" x14ac:dyDescent="0.2">
      <c r="A499" s="57">
        <v>43390</v>
      </c>
      <c r="B499">
        <v>1.153</v>
      </c>
    </row>
    <row r="500" spans="1:2" x14ac:dyDescent="0.2">
      <c r="A500" s="57">
        <v>43389</v>
      </c>
      <c r="B500">
        <v>1.1587000000000001</v>
      </c>
    </row>
    <row r="501" spans="1:2" x14ac:dyDescent="0.2">
      <c r="A501" s="57">
        <v>43388</v>
      </c>
      <c r="B501">
        <v>1.1580999999999999</v>
      </c>
    </row>
    <row r="502" spans="1:2" x14ac:dyDescent="0.2">
      <c r="A502" s="57">
        <v>43387</v>
      </c>
    </row>
    <row r="503" spans="1:2" x14ac:dyDescent="0.2">
      <c r="A503" s="57">
        <v>43386</v>
      </c>
    </row>
    <row r="504" spans="1:2" x14ac:dyDescent="0.2">
      <c r="A504" s="57">
        <v>43385</v>
      </c>
      <c r="B504">
        <v>1.1574</v>
      </c>
    </row>
    <row r="505" spans="1:2" x14ac:dyDescent="0.2">
      <c r="A505" s="57">
        <v>43384</v>
      </c>
      <c r="B505">
        <v>1.1575</v>
      </c>
    </row>
    <row r="506" spans="1:2" x14ac:dyDescent="0.2">
      <c r="A506" s="57">
        <v>43383</v>
      </c>
      <c r="B506">
        <v>1.1499999999999999</v>
      </c>
    </row>
    <row r="507" spans="1:2" x14ac:dyDescent="0.2">
      <c r="A507" s="57">
        <v>43382</v>
      </c>
      <c r="B507">
        <v>1.1435</v>
      </c>
    </row>
    <row r="508" spans="1:2" x14ac:dyDescent="0.2">
      <c r="A508" s="57">
        <v>43381</v>
      </c>
      <c r="B508">
        <v>1.1477999999999999</v>
      </c>
    </row>
    <row r="509" spans="1:2" x14ac:dyDescent="0.2">
      <c r="A509" s="57">
        <v>43380</v>
      </c>
    </row>
    <row r="510" spans="1:2" x14ac:dyDescent="0.2">
      <c r="A510" s="57">
        <v>43379</v>
      </c>
    </row>
    <row r="511" spans="1:2" x14ac:dyDescent="0.2">
      <c r="A511" s="57">
        <v>43378</v>
      </c>
      <c r="B511">
        <v>1.1506000000000001</v>
      </c>
    </row>
    <row r="512" spans="1:2" x14ac:dyDescent="0.2">
      <c r="A512" s="57">
        <v>43377</v>
      </c>
      <c r="B512">
        <v>1.1501999999999999</v>
      </c>
    </row>
    <row r="513" spans="1:2" x14ac:dyDescent="0.2">
      <c r="A513" s="57">
        <v>43376</v>
      </c>
      <c r="B513">
        <v>1.1548</v>
      </c>
    </row>
    <row r="514" spans="1:2" x14ac:dyDescent="0.2">
      <c r="A514" s="57">
        <v>43375</v>
      </c>
      <c r="B514">
        <v>1.1543000000000001</v>
      </c>
    </row>
    <row r="515" spans="1:2" x14ac:dyDescent="0.2">
      <c r="A515" s="57">
        <v>43374</v>
      </c>
      <c r="B515">
        <v>1.1606000000000001</v>
      </c>
    </row>
    <row r="516" spans="1:2" x14ac:dyDescent="0.2">
      <c r="A516" s="57">
        <v>43373</v>
      </c>
    </row>
    <row r="517" spans="1:2" x14ac:dyDescent="0.2">
      <c r="A517" s="57">
        <v>43372</v>
      </c>
    </row>
    <row r="518" spans="1:2" x14ac:dyDescent="0.2">
      <c r="A518" s="57">
        <v>43371</v>
      </c>
      <c r="B518">
        <v>1.1576</v>
      </c>
    </row>
    <row r="519" spans="1:2" x14ac:dyDescent="0.2">
      <c r="A519" s="57">
        <v>43370</v>
      </c>
      <c r="B519">
        <v>1.1707000000000001</v>
      </c>
    </row>
    <row r="520" spans="1:2" x14ac:dyDescent="0.2">
      <c r="A520" s="57">
        <v>43369</v>
      </c>
      <c r="B520">
        <v>1.1737</v>
      </c>
    </row>
    <row r="521" spans="1:2" x14ac:dyDescent="0.2">
      <c r="A521" s="57">
        <v>43368</v>
      </c>
      <c r="B521">
        <v>1.1777</v>
      </c>
    </row>
    <row r="522" spans="1:2" x14ac:dyDescent="0.2">
      <c r="A522" s="57">
        <v>43367</v>
      </c>
      <c r="B522">
        <v>1.1773</v>
      </c>
    </row>
    <row r="523" spans="1:2" x14ac:dyDescent="0.2">
      <c r="A523" s="57">
        <v>43366</v>
      </c>
    </row>
    <row r="524" spans="1:2" x14ac:dyDescent="0.2">
      <c r="A524" s="57">
        <v>43365</v>
      </c>
    </row>
    <row r="525" spans="1:2" x14ac:dyDescent="0.2">
      <c r="A525" s="57">
        <v>43364</v>
      </c>
      <c r="B525">
        <v>1.1758999999999999</v>
      </c>
    </row>
    <row r="526" spans="1:2" x14ac:dyDescent="0.2">
      <c r="A526" s="57">
        <v>43363</v>
      </c>
      <c r="B526">
        <v>1.1769000000000001</v>
      </c>
    </row>
    <row r="527" spans="1:2" x14ac:dyDescent="0.2">
      <c r="A527" s="57">
        <v>43362</v>
      </c>
      <c r="B527">
        <v>1.1667000000000001</v>
      </c>
    </row>
    <row r="528" spans="1:2" x14ac:dyDescent="0.2">
      <c r="A528" s="57">
        <v>43361</v>
      </c>
      <c r="B528">
        <v>1.1697</v>
      </c>
    </row>
    <row r="529" spans="1:2" x14ac:dyDescent="0.2">
      <c r="A529" s="57">
        <v>43360</v>
      </c>
      <c r="B529">
        <v>1.1671</v>
      </c>
    </row>
    <row r="530" spans="1:2" x14ac:dyDescent="0.2">
      <c r="A530" s="57">
        <v>43359</v>
      </c>
    </row>
    <row r="531" spans="1:2" x14ac:dyDescent="0.2">
      <c r="A531" s="57">
        <v>43358</v>
      </c>
    </row>
    <row r="532" spans="1:2" x14ac:dyDescent="0.2">
      <c r="A532" s="57">
        <v>43357</v>
      </c>
      <c r="B532">
        <v>1.1689000000000001</v>
      </c>
    </row>
    <row r="533" spans="1:2" x14ac:dyDescent="0.2">
      <c r="A533" s="57">
        <v>43356</v>
      </c>
      <c r="B533">
        <v>1.1619999999999999</v>
      </c>
    </row>
    <row r="534" spans="1:2" x14ac:dyDescent="0.2">
      <c r="A534" s="57">
        <v>43355</v>
      </c>
      <c r="B534">
        <v>1.1585000000000001</v>
      </c>
    </row>
    <row r="535" spans="1:2" x14ac:dyDescent="0.2">
      <c r="A535" s="57">
        <v>43354</v>
      </c>
      <c r="B535">
        <v>1.1574</v>
      </c>
    </row>
    <row r="536" spans="1:2" x14ac:dyDescent="0.2">
      <c r="A536" s="57">
        <v>43353</v>
      </c>
      <c r="B536">
        <v>1.1571</v>
      </c>
    </row>
    <row r="537" spans="1:2" x14ac:dyDescent="0.2">
      <c r="A537" s="57">
        <v>43352</v>
      </c>
    </row>
    <row r="538" spans="1:2" x14ac:dyDescent="0.2">
      <c r="A538" s="57">
        <v>43351</v>
      </c>
    </row>
    <row r="539" spans="1:2" x14ac:dyDescent="0.2">
      <c r="A539" s="57">
        <v>43350</v>
      </c>
      <c r="B539">
        <v>1.1615</v>
      </c>
    </row>
    <row r="540" spans="1:2" x14ac:dyDescent="0.2">
      <c r="A540" s="57">
        <v>43349</v>
      </c>
      <c r="B540">
        <v>1.1634</v>
      </c>
    </row>
    <row r="541" spans="1:2" x14ac:dyDescent="0.2">
      <c r="A541" s="57">
        <v>43348</v>
      </c>
      <c r="B541">
        <v>1.1581999999999999</v>
      </c>
    </row>
    <row r="542" spans="1:2" x14ac:dyDescent="0.2">
      <c r="A542" s="57">
        <v>43347</v>
      </c>
      <c r="B542">
        <v>1.1561999999999999</v>
      </c>
    </row>
    <row r="543" spans="1:2" x14ac:dyDescent="0.2">
      <c r="A543" s="57">
        <v>43346</v>
      </c>
      <c r="B543">
        <v>1.1609</v>
      </c>
    </row>
    <row r="544" spans="1:2" x14ac:dyDescent="0.2">
      <c r="A544" s="57">
        <v>43345</v>
      </c>
    </row>
    <row r="545" spans="1:2" x14ac:dyDescent="0.2">
      <c r="A545" s="57">
        <v>43344</v>
      </c>
    </row>
    <row r="546" spans="1:2" x14ac:dyDescent="0.2">
      <c r="A546" s="57">
        <v>43343</v>
      </c>
      <c r="B546">
        <v>1.1651</v>
      </c>
    </row>
    <row r="547" spans="1:2" x14ac:dyDescent="0.2">
      <c r="A547" s="57">
        <v>43342</v>
      </c>
      <c r="B547">
        <v>1.1692</v>
      </c>
    </row>
    <row r="548" spans="1:2" x14ac:dyDescent="0.2">
      <c r="A548" s="57">
        <v>43341</v>
      </c>
      <c r="B548">
        <v>1.1659999999999999</v>
      </c>
    </row>
    <row r="549" spans="1:2" x14ac:dyDescent="0.2">
      <c r="A549" s="57">
        <v>43340</v>
      </c>
      <c r="B549">
        <v>1.171</v>
      </c>
    </row>
    <row r="550" spans="1:2" x14ac:dyDescent="0.2">
      <c r="A550" s="57">
        <v>43339</v>
      </c>
      <c r="B550">
        <v>1.1633</v>
      </c>
    </row>
    <row r="551" spans="1:2" x14ac:dyDescent="0.2">
      <c r="A551" s="57">
        <v>43338</v>
      </c>
    </row>
    <row r="552" spans="1:2" x14ac:dyDescent="0.2">
      <c r="A552" s="57">
        <v>43337</v>
      </c>
    </row>
    <row r="553" spans="1:2" x14ac:dyDescent="0.2">
      <c r="A553" s="57">
        <v>43336</v>
      </c>
      <c r="B553">
        <v>1.1588000000000001</v>
      </c>
    </row>
    <row r="554" spans="1:2" x14ac:dyDescent="0.2">
      <c r="A554" s="57">
        <v>43335</v>
      </c>
      <c r="B554">
        <v>1.1578999999999999</v>
      </c>
    </row>
    <row r="555" spans="1:2" x14ac:dyDescent="0.2">
      <c r="A555" s="57">
        <v>43334</v>
      </c>
      <c r="B555">
        <v>1.1616</v>
      </c>
    </row>
    <row r="556" spans="1:2" x14ac:dyDescent="0.2">
      <c r="A556" s="57">
        <v>43333</v>
      </c>
      <c r="B556">
        <v>1.1501999999999999</v>
      </c>
    </row>
    <row r="557" spans="1:2" x14ac:dyDescent="0.2">
      <c r="A557" s="57">
        <v>43332</v>
      </c>
      <c r="B557">
        <v>1.1419999999999999</v>
      </c>
    </row>
    <row r="558" spans="1:2" x14ac:dyDescent="0.2">
      <c r="A558" s="57">
        <v>43331</v>
      </c>
    </row>
    <row r="559" spans="1:2" x14ac:dyDescent="0.2">
      <c r="A559" s="57">
        <v>43330</v>
      </c>
    </row>
    <row r="560" spans="1:2" x14ac:dyDescent="0.2">
      <c r="A560" s="57">
        <v>43329</v>
      </c>
      <c r="B560">
        <v>1.1391</v>
      </c>
    </row>
    <row r="561" spans="1:2" x14ac:dyDescent="0.2">
      <c r="A561" s="57">
        <v>43328</v>
      </c>
      <c r="B561">
        <v>1.137</v>
      </c>
    </row>
    <row r="562" spans="1:2" x14ac:dyDescent="0.2">
      <c r="A562" s="57">
        <v>43327</v>
      </c>
      <c r="B562">
        <v>1.1321000000000001</v>
      </c>
    </row>
    <row r="563" spans="1:2" x14ac:dyDescent="0.2">
      <c r="A563" s="57">
        <v>43326</v>
      </c>
      <c r="B563">
        <v>1.1406000000000001</v>
      </c>
    </row>
    <row r="564" spans="1:2" x14ac:dyDescent="0.2">
      <c r="A564" s="57">
        <v>43325</v>
      </c>
      <c r="B564">
        <v>1.1403000000000001</v>
      </c>
    </row>
    <row r="565" spans="1:2" x14ac:dyDescent="0.2">
      <c r="A565" s="57">
        <v>43324</v>
      </c>
    </row>
    <row r="566" spans="1:2" x14ac:dyDescent="0.2">
      <c r="A566" s="57">
        <v>43323</v>
      </c>
    </row>
    <row r="567" spans="1:2" x14ac:dyDescent="0.2">
      <c r="A567" s="57">
        <v>43322</v>
      </c>
      <c r="B567">
        <v>1.1456</v>
      </c>
    </row>
    <row r="568" spans="1:2" x14ac:dyDescent="0.2">
      <c r="A568" s="57">
        <v>43321</v>
      </c>
      <c r="B568">
        <v>1.1593</v>
      </c>
    </row>
    <row r="569" spans="1:2" x14ac:dyDescent="0.2">
      <c r="A569" s="57">
        <v>43320</v>
      </c>
      <c r="B569">
        <v>1.1589</v>
      </c>
    </row>
    <row r="570" spans="1:2" x14ac:dyDescent="0.2">
      <c r="A570" s="57">
        <v>43319</v>
      </c>
      <c r="B570">
        <v>1.1601999999999999</v>
      </c>
    </row>
    <row r="571" spans="1:2" x14ac:dyDescent="0.2">
      <c r="A571" s="57">
        <v>43318</v>
      </c>
      <c r="B571">
        <v>1.1543000000000001</v>
      </c>
    </row>
    <row r="572" spans="1:2" x14ac:dyDescent="0.2">
      <c r="A572" s="57">
        <v>43317</v>
      </c>
    </row>
    <row r="573" spans="1:2" x14ac:dyDescent="0.2">
      <c r="A573" s="57">
        <v>43316</v>
      </c>
    </row>
    <row r="574" spans="1:2" x14ac:dyDescent="0.2">
      <c r="A574" s="57">
        <v>43315</v>
      </c>
      <c r="B574">
        <v>1.1588000000000001</v>
      </c>
    </row>
    <row r="575" spans="1:2" x14ac:dyDescent="0.2">
      <c r="A575" s="57">
        <v>43314</v>
      </c>
      <c r="B575">
        <v>1.1617</v>
      </c>
    </row>
    <row r="576" spans="1:2" x14ac:dyDescent="0.2">
      <c r="A576" s="57">
        <v>43313</v>
      </c>
      <c r="B576">
        <v>1.1696</v>
      </c>
    </row>
    <row r="577" spans="1:2" x14ac:dyDescent="0.2">
      <c r="A577" s="57">
        <v>43312</v>
      </c>
      <c r="B577">
        <v>1.1736</v>
      </c>
    </row>
    <row r="578" spans="1:2" x14ac:dyDescent="0.2">
      <c r="A578" s="57">
        <v>43311</v>
      </c>
      <c r="B578">
        <v>1.1684000000000001</v>
      </c>
    </row>
    <row r="579" spans="1:2" x14ac:dyDescent="0.2">
      <c r="A579" s="57">
        <v>43310</v>
      </c>
    </row>
    <row r="580" spans="1:2" x14ac:dyDescent="0.2">
      <c r="A580" s="57">
        <v>43309</v>
      </c>
    </row>
    <row r="581" spans="1:2" x14ac:dyDescent="0.2">
      <c r="A581" s="57">
        <v>43308</v>
      </c>
      <c r="B581">
        <v>1.1625000000000001</v>
      </c>
    </row>
    <row r="582" spans="1:2" x14ac:dyDescent="0.2">
      <c r="A582" s="57">
        <v>43307</v>
      </c>
      <c r="B582">
        <v>1.1716</v>
      </c>
    </row>
    <row r="583" spans="1:2" x14ac:dyDescent="0.2">
      <c r="A583" s="57">
        <v>43306</v>
      </c>
      <c r="B583">
        <v>1.169</v>
      </c>
    </row>
    <row r="584" spans="1:2" x14ac:dyDescent="0.2">
      <c r="A584" s="57">
        <v>43305</v>
      </c>
      <c r="B584">
        <v>1.1706000000000001</v>
      </c>
    </row>
    <row r="585" spans="1:2" x14ac:dyDescent="0.2">
      <c r="A585" s="57">
        <v>43304</v>
      </c>
      <c r="B585">
        <v>1.1716</v>
      </c>
    </row>
    <row r="586" spans="1:2" x14ac:dyDescent="0.2">
      <c r="A586" s="57">
        <v>43303</v>
      </c>
    </row>
    <row r="587" spans="1:2" x14ac:dyDescent="0.2">
      <c r="A587" s="57">
        <v>43302</v>
      </c>
    </row>
    <row r="588" spans="1:2" x14ac:dyDescent="0.2">
      <c r="A588" s="57">
        <v>43301</v>
      </c>
      <c r="B588">
        <v>1.167</v>
      </c>
    </row>
    <row r="589" spans="1:2" x14ac:dyDescent="0.2">
      <c r="A589" s="57">
        <v>43300</v>
      </c>
      <c r="B589">
        <v>1.1588000000000001</v>
      </c>
    </row>
    <row r="590" spans="1:2" x14ac:dyDescent="0.2">
      <c r="A590" s="57">
        <v>43299</v>
      </c>
      <c r="B590">
        <v>1.1611</v>
      </c>
    </row>
    <row r="591" spans="1:2" x14ac:dyDescent="0.2">
      <c r="A591" s="57">
        <v>43298</v>
      </c>
      <c r="B591">
        <v>1.1707000000000001</v>
      </c>
    </row>
    <row r="592" spans="1:2" x14ac:dyDescent="0.2">
      <c r="A592" s="57">
        <v>43297</v>
      </c>
      <c r="B592">
        <v>1.1719999999999999</v>
      </c>
    </row>
    <row r="593" spans="1:2" x14ac:dyDescent="0.2">
      <c r="A593" s="57">
        <v>43296</v>
      </c>
    </row>
    <row r="594" spans="1:2" x14ac:dyDescent="0.2">
      <c r="A594" s="57">
        <v>43295</v>
      </c>
    </row>
    <row r="595" spans="1:2" x14ac:dyDescent="0.2">
      <c r="A595" s="57">
        <v>43294</v>
      </c>
      <c r="B595">
        <v>1.1642999999999999</v>
      </c>
    </row>
    <row r="596" spans="1:2" x14ac:dyDescent="0.2">
      <c r="A596" s="57">
        <v>43293</v>
      </c>
      <c r="B596">
        <v>1.1657999999999999</v>
      </c>
    </row>
    <row r="597" spans="1:2" x14ac:dyDescent="0.2">
      <c r="A597" s="57">
        <v>43292</v>
      </c>
      <c r="B597">
        <v>1.1735</v>
      </c>
    </row>
    <row r="598" spans="1:2" x14ac:dyDescent="0.2">
      <c r="A598" s="57">
        <v>43291</v>
      </c>
      <c r="B598">
        <v>1.1713</v>
      </c>
    </row>
    <row r="599" spans="1:2" x14ac:dyDescent="0.2">
      <c r="A599" s="57">
        <v>43290</v>
      </c>
      <c r="B599">
        <v>1.1789000000000001</v>
      </c>
    </row>
    <row r="600" spans="1:2" x14ac:dyDescent="0.2">
      <c r="A600" s="57">
        <v>43289</v>
      </c>
    </row>
    <row r="601" spans="1:2" x14ac:dyDescent="0.2">
      <c r="A601" s="57">
        <v>43288</v>
      </c>
    </row>
    <row r="602" spans="1:2" x14ac:dyDescent="0.2">
      <c r="A602" s="57">
        <v>43287</v>
      </c>
      <c r="B602">
        <v>1.1724000000000001</v>
      </c>
    </row>
    <row r="603" spans="1:2" x14ac:dyDescent="0.2">
      <c r="A603" s="57">
        <v>43286</v>
      </c>
      <c r="B603">
        <v>1.1709000000000001</v>
      </c>
    </row>
    <row r="604" spans="1:2" x14ac:dyDescent="0.2">
      <c r="A604" s="57">
        <v>43285</v>
      </c>
      <c r="B604">
        <v>1.1641999999999999</v>
      </c>
    </row>
    <row r="605" spans="1:2" x14ac:dyDescent="0.2">
      <c r="A605" s="57">
        <v>43284</v>
      </c>
      <c r="B605">
        <v>1.1665000000000001</v>
      </c>
    </row>
    <row r="606" spans="1:2" x14ac:dyDescent="0.2">
      <c r="A606" s="57">
        <v>43283</v>
      </c>
      <c r="B606">
        <v>1.1638999999999999</v>
      </c>
    </row>
    <row r="607" spans="1:2" x14ac:dyDescent="0.2">
      <c r="A607" s="57">
        <v>43282</v>
      </c>
    </row>
    <row r="608" spans="1:2" x14ac:dyDescent="0.2">
      <c r="A608" s="57">
        <v>43281</v>
      </c>
    </row>
    <row r="609" spans="1:2" x14ac:dyDescent="0.2">
      <c r="A609" s="57">
        <v>43280</v>
      </c>
      <c r="B609">
        <v>1.1657999999999999</v>
      </c>
    </row>
    <row r="610" spans="1:2" x14ac:dyDescent="0.2">
      <c r="A610" s="57">
        <v>43279</v>
      </c>
      <c r="B610">
        <v>1.1583000000000001</v>
      </c>
    </row>
    <row r="611" spans="1:2" x14ac:dyDescent="0.2">
      <c r="A611" s="57">
        <v>43278</v>
      </c>
      <c r="B611">
        <v>1.1616</v>
      </c>
    </row>
    <row r="612" spans="1:2" x14ac:dyDescent="0.2">
      <c r="A612" s="57">
        <v>43277</v>
      </c>
      <c r="B612">
        <v>1.1672</v>
      </c>
    </row>
    <row r="613" spans="1:2" x14ac:dyDescent="0.2">
      <c r="A613" s="57">
        <v>43276</v>
      </c>
      <c r="B613">
        <v>1.17</v>
      </c>
    </row>
    <row r="614" spans="1:2" x14ac:dyDescent="0.2">
      <c r="A614" s="57">
        <v>43275</v>
      </c>
    </row>
    <row r="615" spans="1:2" x14ac:dyDescent="0.2">
      <c r="A615" s="57">
        <v>43274</v>
      </c>
    </row>
    <row r="616" spans="1:2" x14ac:dyDescent="0.2">
      <c r="A616" s="57">
        <v>43273</v>
      </c>
      <c r="B616">
        <v>1.1648000000000001</v>
      </c>
    </row>
    <row r="617" spans="1:2" x14ac:dyDescent="0.2">
      <c r="A617" s="57">
        <v>43272</v>
      </c>
      <c r="B617">
        <v>1.1537999999999999</v>
      </c>
    </row>
    <row r="618" spans="1:2" x14ac:dyDescent="0.2">
      <c r="A618" s="57">
        <v>43271</v>
      </c>
      <c r="B618">
        <v>1.1577999999999999</v>
      </c>
    </row>
    <row r="619" spans="1:2" x14ac:dyDescent="0.2">
      <c r="A619" s="57">
        <v>43270</v>
      </c>
      <c r="B619">
        <v>1.1534</v>
      </c>
    </row>
    <row r="620" spans="1:2" x14ac:dyDescent="0.2">
      <c r="A620" s="57">
        <v>43269</v>
      </c>
      <c r="B620">
        <v>1.1613</v>
      </c>
    </row>
    <row r="621" spans="1:2" x14ac:dyDescent="0.2">
      <c r="A621" s="57">
        <v>43268</v>
      </c>
    </row>
    <row r="622" spans="1:2" x14ac:dyDescent="0.2">
      <c r="A622" s="57">
        <v>43267</v>
      </c>
    </row>
    <row r="623" spans="1:2" x14ac:dyDescent="0.2">
      <c r="A623" s="57">
        <v>43266</v>
      </c>
      <c r="B623">
        <v>1.1596</v>
      </c>
    </row>
    <row r="624" spans="1:2" x14ac:dyDescent="0.2">
      <c r="A624" s="57">
        <v>43265</v>
      </c>
      <c r="B624">
        <v>1.173</v>
      </c>
    </row>
    <row r="625" spans="1:2" x14ac:dyDescent="0.2">
      <c r="A625" s="57">
        <v>43264</v>
      </c>
      <c r="B625">
        <v>1.1763999999999999</v>
      </c>
    </row>
    <row r="626" spans="1:2" x14ac:dyDescent="0.2">
      <c r="A626" s="57">
        <v>43263</v>
      </c>
      <c r="B626">
        <v>1.1788000000000001</v>
      </c>
    </row>
    <row r="627" spans="1:2" x14ac:dyDescent="0.2">
      <c r="A627" s="57">
        <v>43262</v>
      </c>
      <c r="B627">
        <v>1.179</v>
      </c>
    </row>
    <row r="628" spans="1:2" x14ac:dyDescent="0.2">
      <c r="A628" s="57">
        <v>43261</v>
      </c>
    </row>
    <row r="629" spans="1:2" x14ac:dyDescent="0.2">
      <c r="A629" s="57">
        <v>43260</v>
      </c>
    </row>
    <row r="630" spans="1:2" x14ac:dyDescent="0.2">
      <c r="A630" s="57">
        <v>43259</v>
      </c>
      <c r="B630">
        <v>1.1754</v>
      </c>
    </row>
    <row r="631" spans="1:2" x14ac:dyDescent="0.2">
      <c r="A631" s="57">
        <v>43258</v>
      </c>
      <c r="B631">
        <v>1.1836</v>
      </c>
    </row>
    <row r="632" spans="1:2" x14ac:dyDescent="0.2">
      <c r="A632" s="57">
        <v>43257</v>
      </c>
      <c r="B632">
        <v>1.1765000000000001</v>
      </c>
    </row>
    <row r="633" spans="1:2" x14ac:dyDescent="0.2">
      <c r="A633" s="57">
        <v>43256</v>
      </c>
      <c r="B633">
        <v>1.1675</v>
      </c>
    </row>
    <row r="634" spans="1:2" x14ac:dyDescent="0.2">
      <c r="A634" s="57">
        <v>43255</v>
      </c>
      <c r="B634">
        <v>1.1737</v>
      </c>
    </row>
    <row r="635" spans="1:2" x14ac:dyDescent="0.2">
      <c r="A635" s="57">
        <v>43254</v>
      </c>
    </row>
    <row r="636" spans="1:2" x14ac:dyDescent="0.2">
      <c r="A636" s="57">
        <v>43253</v>
      </c>
    </row>
    <row r="637" spans="1:2" x14ac:dyDescent="0.2">
      <c r="A637" s="57">
        <v>43252</v>
      </c>
      <c r="B637">
        <v>1.1669</v>
      </c>
    </row>
    <row r="638" spans="1:2" x14ac:dyDescent="0.2">
      <c r="A638" s="57">
        <v>43251</v>
      </c>
      <c r="B638">
        <v>1.1698999999999999</v>
      </c>
    </row>
    <row r="639" spans="1:2" x14ac:dyDescent="0.2">
      <c r="A639" s="57">
        <v>43250</v>
      </c>
      <c r="B639">
        <v>1.1632</v>
      </c>
    </row>
    <row r="640" spans="1:2" x14ac:dyDescent="0.2">
      <c r="A640" s="57">
        <v>43249</v>
      </c>
      <c r="B640">
        <v>1.1557999999999999</v>
      </c>
    </row>
    <row r="641" spans="1:2" x14ac:dyDescent="0.2">
      <c r="A641" s="57">
        <v>43248</v>
      </c>
      <c r="B641">
        <v>1.1644000000000001</v>
      </c>
    </row>
    <row r="642" spans="1:2" x14ac:dyDescent="0.2">
      <c r="A642" s="57">
        <v>43247</v>
      </c>
    </row>
    <row r="643" spans="1:2" x14ac:dyDescent="0.2">
      <c r="A643" s="57">
        <v>43246</v>
      </c>
    </row>
    <row r="644" spans="1:2" x14ac:dyDescent="0.2">
      <c r="A644" s="57">
        <v>43245</v>
      </c>
      <c r="B644">
        <v>1.1675</v>
      </c>
    </row>
    <row r="645" spans="1:2" x14ac:dyDescent="0.2">
      <c r="A645" s="57">
        <v>43244</v>
      </c>
      <c r="B645">
        <v>1.1728000000000001</v>
      </c>
    </row>
    <row r="646" spans="1:2" x14ac:dyDescent="0.2">
      <c r="A646" s="57">
        <v>43243</v>
      </c>
      <c r="B646">
        <v>1.1708000000000001</v>
      </c>
    </row>
    <row r="647" spans="1:2" x14ac:dyDescent="0.2">
      <c r="A647" s="57">
        <v>43242</v>
      </c>
      <c r="B647">
        <v>1.1794</v>
      </c>
    </row>
    <row r="648" spans="1:2" x14ac:dyDescent="0.2">
      <c r="A648" s="57">
        <v>43241</v>
      </c>
      <c r="B648">
        <v>1.1758999999999999</v>
      </c>
    </row>
    <row r="649" spans="1:2" x14ac:dyDescent="0.2">
      <c r="A649" s="57">
        <v>43240</v>
      </c>
    </row>
    <row r="650" spans="1:2" x14ac:dyDescent="0.2">
      <c r="A650" s="57">
        <v>43239</v>
      </c>
    </row>
    <row r="651" spans="1:2" x14ac:dyDescent="0.2">
      <c r="A651" s="57">
        <v>43238</v>
      </c>
      <c r="B651">
        <v>1.1780999999999999</v>
      </c>
    </row>
    <row r="652" spans="1:2" x14ac:dyDescent="0.2">
      <c r="A652" s="57">
        <v>43237</v>
      </c>
      <c r="B652">
        <v>1.1805000000000001</v>
      </c>
    </row>
    <row r="653" spans="1:2" x14ac:dyDescent="0.2">
      <c r="A653" s="57">
        <v>43236</v>
      </c>
      <c r="B653">
        <v>1.1783999999999999</v>
      </c>
    </row>
    <row r="654" spans="1:2" x14ac:dyDescent="0.2">
      <c r="A654" s="57">
        <v>43235</v>
      </c>
      <c r="B654">
        <v>1.1882999999999999</v>
      </c>
    </row>
    <row r="655" spans="1:2" x14ac:dyDescent="0.2">
      <c r="A655" s="57">
        <v>43234</v>
      </c>
      <c r="B655">
        <v>1.1988000000000001</v>
      </c>
    </row>
    <row r="656" spans="1:2" x14ac:dyDescent="0.2">
      <c r="A656" s="57">
        <v>43233</v>
      </c>
    </row>
    <row r="657" spans="1:2" x14ac:dyDescent="0.2">
      <c r="A657" s="57">
        <v>43232</v>
      </c>
    </row>
    <row r="658" spans="1:2" x14ac:dyDescent="0.2">
      <c r="A658" s="57">
        <v>43231</v>
      </c>
      <c r="B658">
        <v>1.1934</v>
      </c>
    </row>
    <row r="659" spans="1:2" x14ac:dyDescent="0.2">
      <c r="A659" s="57">
        <v>43230</v>
      </c>
      <c r="B659">
        <v>1.1878</v>
      </c>
    </row>
    <row r="660" spans="1:2" x14ac:dyDescent="0.2">
      <c r="A660" s="57">
        <v>43229</v>
      </c>
      <c r="B660">
        <v>1.1879</v>
      </c>
    </row>
    <row r="661" spans="1:2" x14ac:dyDescent="0.2">
      <c r="A661" s="57">
        <v>43228</v>
      </c>
      <c r="B661">
        <v>1.1870000000000001</v>
      </c>
    </row>
    <row r="662" spans="1:2" x14ac:dyDescent="0.2">
      <c r="A662" s="57">
        <v>43227</v>
      </c>
      <c r="B662">
        <v>1.1901999999999999</v>
      </c>
    </row>
    <row r="663" spans="1:2" x14ac:dyDescent="0.2">
      <c r="A663" s="57">
        <v>43226</v>
      </c>
    </row>
    <row r="664" spans="1:2" x14ac:dyDescent="0.2">
      <c r="A664" s="57">
        <v>43225</v>
      </c>
    </row>
    <row r="665" spans="1:2" x14ac:dyDescent="0.2">
      <c r="A665" s="57">
        <v>43224</v>
      </c>
      <c r="B665">
        <v>1.1969000000000001</v>
      </c>
    </row>
    <row r="666" spans="1:2" x14ac:dyDescent="0.2">
      <c r="A666" s="57">
        <v>43223</v>
      </c>
      <c r="B666">
        <v>1.1992</v>
      </c>
    </row>
    <row r="667" spans="1:2" x14ac:dyDescent="0.2">
      <c r="A667" s="57">
        <v>43222</v>
      </c>
      <c r="B667">
        <v>1.2007000000000001</v>
      </c>
    </row>
    <row r="668" spans="1:2" x14ac:dyDescent="0.2">
      <c r="A668" s="57">
        <v>43221</v>
      </c>
    </row>
    <row r="669" spans="1:2" x14ac:dyDescent="0.2">
      <c r="A669" s="57">
        <v>43220</v>
      </c>
      <c r="B669">
        <v>1.2079</v>
      </c>
    </row>
    <row r="670" spans="1:2" x14ac:dyDescent="0.2">
      <c r="A670" s="57">
        <v>43219</v>
      </c>
    </row>
    <row r="671" spans="1:2" x14ac:dyDescent="0.2">
      <c r="A671" s="57">
        <v>43218</v>
      </c>
    </row>
    <row r="672" spans="1:2" x14ac:dyDescent="0.2">
      <c r="A672" s="57">
        <v>43217</v>
      </c>
      <c r="B672">
        <v>1.2070000000000001</v>
      </c>
    </row>
    <row r="673" spans="1:2" x14ac:dyDescent="0.2">
      <c r="A673" s="57">
        <v>43216</v>
      </c>
      <c r="B673">
        <v>1.2168000000000001</v>
      </c>
    </row>
    <row r="674" spans="1:2" x14ac:dyDescent="0.2">
      <c r="A674" s="57">
        <v>43215</v>
      </c>
      <c r="B674">
        <v>1.2184999999999999</v>
      </c>
    </row>
    <row r="675" spans="1:2" x14ac:dyDescent="0.2">
      <c r="A675" s="57">
        <v>43214</v>
      </c>
      <c r="B675">
        <v>1.2213000000000001</v>
      </c>
    </row>
    <row r="676" spans="1:2" x14ac:dyDescent="0.2">
      <c r="A676" s="57">
        <v>43213</v>
      </c>
      <c r="B676">
        <v>1.2238</v>
      </c>
    </row>
    <row r="677" spans="1:2" x14ac:dyDescent="0.2">
      <c r="A677" s="57">
        <v>43212</v>
      </c>
    </row>
    <row r="678" spans="1:2" x14ac:dyDescent="0.2">
      <c r="A678" s="57">
        <v>43211</v>
      </c>
    </row>
    <row r="679" spans="1:2" x14ac:dyDescent="0.2">
      <c r="A679" s="57">
        <v>43210</v>
      </c>
      <c r="B679">
        <v>1.2309000000000001</v>
      </c>
    </row>
    <row r="680" spans="1:2" x14ac:dyDescent="0.2">
      <c r="A680" s="57">
        <v>43209</v>
      </c>
      <c r="B680">
        <v>1.2382</v>
      </c>
    </row>
    <row r="681" spans="1:2" x14ac:dyDescent="0.2">
      <c r="A681" s="57">
        <v>43208</v>
      </c>
      <c r="B681">
        <v>1.2387999999999999</v>
      </c>
    </row>
    <row r="682" spans="1:2" x14ac:dyDescent="0.2">
      <c r="A682" s="57">
        <v>43207</v>
      </c>
      <c r="B682">
        <v>1.2357</v>
      </c>
    </row>
    <row r="683" spans="1:2" x14ac:dyDescent="0.2">
      <c r="A683" s="57">
        <v>43206</v>
      </c>
      <c r="B683">
        <v>1.2370000000000001</v>
      </c>
    </row>
    <row r="684" spans="1:2" x14ac:dyDescent="0.2">
      <c r="A684" s="57">
        <v>43205</v>
      </c>
    </row>
    <row r="685" spans="1:2" x14ac:dyDescent="0.2">
      <c r="A685" s="57">
        <v>43204</v>
      </c>
    </row>
    <row r="686" spans="1:2" x14ac:dyDescent="0.2">
      <c r="A686" s="57">
        <v>43203</v>
      </c>
      <c r="B686">
        <v>1.2317</v>
      </c>
    </row>
    <row r="687" spans="1:2" x14ac:dyDescent="0.2">
      <c r="A687" s="57">
        <v>43202</v>
      </c>
      <c r="B687">
        <v>1.2323</v>
      </c>
    </row>
    <row r="688" spans="1:2" x14ac:dyDescent="0.2">
      <c r="A688" s="57">
        <v>43201</v>
      </c>
      <c r="B688">
        <v>1.2383999999999999</v>
      </c>
    </row>
    <row r="689" spans="1:2" x14ac:dyDescent="0.2">
      <c r="A689" s="57">
        <v>43200</v>
      </c>
      <c r="B689">
        <v>1.2361</v>
      </c>
    </row>
    <row r="690" spans="1:2" x14ac:dyDescent="0.2">
      <c r="A690" s="57">
        <v>43199</v>
      </c>
      <c r="B690">
        <v>1.2303999999999999</v>
      </c>
    </row>
    <row r="691" spans="1:2" x14ac:dyDescent="0.2">
      <c r="A691" s="57">
        <v>43198</v>
      </c>
    </row>
    <row r="692" spans="1:2" x14ac:dyDescent="0.2">
      <c r="A692" s="57">
        <v>43197</v>
      </c>
    </row>
    <row r="693" spans="1:2" x14ac:dyDescent="0.2">
      <c r="A693" s="57">
        <v>43196</v>
      </c>
      <c r="B693">
        <v>1.2234</v>
      </c>
    </row>
    <row r="694" spans="1:2" x14ac:dyDescent="0.2">
      <c r="A694" s="57">
        <v>43195</v>
      </c>
      <c r="B694">
        <v>1.226</v>
      </c>
    </row>
    <row r="695" spans="1:2" x14ac:dyDescent="0.2">
      <c r="A695" s="57">
        <v>43194</v>
      </c>
      <c r="B695">
        <v>1.2276</v>
      </c>
    </row>
    <row r="696" spans="1:2" x14ac:dyDescent="0.2">
      <c r="A696" s="57">
        <v>43193</v>
      </c>
      <c r="B696">
        <v>1.2307999999999999</v>
      </c>
    </row>
    <row r="697" spans="1:2" x14ac:dyDescent="0.2">
      <c r="A697" s="57">
        <v>43192</v>
      </c>
    </row>
    <row r="698" spans="1:2" x14ac:dyDescent="0.2">
      <c r="A698" s="57">
        <v>43191</v>
      </c>
    </row>
    <row r="699" spans="1:2" x14ac:dyDescent="0.2">
      <c r="A699" s="57">
        <v>43190</v>
      </c>
    </row>
    <row r="700" spans="1:2" x14ac:dyDescent="0.2">
      <c r="A700" s="57">
        <v>43189</v>
      </c>
    </row>
    <row r="701" spans="1:2" x14ac:dyDescent="0.2">
      <c r="A701" s="57">
        <v>43188</v>
      </c>
      <c r="B701">
        <v>1.2321</v>
      </c>
    </row>
    <row r="702" spans="1:2" x14ac:dyDescent="0.2">
      <c r="A702" s="57">
        <v>43187</v>
      </c>
      <c r="B702">
        <v>1.2398</v>
      </c>
    </row>
    <row r="703" spans="1:2" x14ac:dyDescent="0.2">
      <c r="A703" s="57">
        <v>43186</v>
      </c>
      <c r="B703">
        <v>1.2376</v>
      </c>
    </row>
    <row r="704" spans="1:2" x14ac:dyDescent="0.2">
      <c r="A704" s="57">
        <v>43185</v>
      </c>
      <c r="B704">
        <v>1.2411000000000001</v>
      </c>
    </row>
    <row r="705" spans="1:2" x14ac:dyDescent="0.2">
      <c r="A705" s="57">
        <v>43184</v>
      </c>
    </row>
    <row r="706" spans="1:2" x14ac:dyDescent="0.2">
      <c r="A706" s="57">
        <v>43183</v>
      </c>
    </row>
    <row r="707" spans="1:2" x14ac:dyDescent="0.2">
      <c r="A707" s="57">
        <v>43182</v>
      </c>
      <c r="B707">
        <v>1.2345999999999999</v>
      </c>
    </row>
    <row r="708" spans="1:2" x14ac:dyDescent="0.2">
      <c r="A708" s="57">
        <v>43181</v>
      </c>
      <c r="B708">
        <v>1.2316</v>
      </c>
    </row>
    <row r="709" spans="1:2" x14ac:dyDescent="0.2">
      <c r="A709" s="57">
        <v>43180</v>
      </c>
      <c r="B709">
        <v>1.2285999999999999</v>
      </c>
    </row>
    <row r="710" spans="1:2" x14ac:dyDescent="0.2">
      <c r="A710" s="57">
        <v>43179</v>
      </c>
      <c r="B710">
        <v>1.2276</v>
      </c>
    </row>
    <row r="711" spans="1:2" x14ac:dyDescent="0.2">
      <c r="A711" s="57">
        <v>43178</v>
      </c>
      <c r="B711">
        <v>1.2309000000000001</v>
      </c>
    </row>
    <row r="712" spans="1:2" x14ac:dyDescent="0.2">
      <c r="A712" s="57">
        <v>43177</v>
      </c>
    </row>
    <row r="713" spans="1:2" x14ac:dyDescent="0.2">
      <c r="A713" s="57">
        <v>43176</v>
      </c>
    </row>
    <row r="714" spans="1:2" x14ac:dyDescent="0.2">
      <c r="A714" s="57">
        <v>43175</v>
      </c>
      <c r="B714">
        <v>1.2301</v>
      </c>
    </row>
    <row r="715" spans="1:2" x14ac:dyDescent="0.2">
      <c r="A715" s="57">
        <v>43174</v>
      </c>
      <c r="B715">
        <v>1.2341</v>
      </c>
    </row>
    <row r="716" spans="1:2" x14ac:dyDescent="0.2">
      <c r="A716" s="57">
        <v>43173</v>
      </c>
      <c r="B716">
        <v>1.2369000000000001</v>
      </c>
    </row>
    <row r="717" spans="1:2" x14ac:dyDescent="0.2">
      <c r="A717" s="57">
        <v>43172</v>
      </c>
      <c r="B717">
        <v>1.2378</v>
      </c>
    </row>
    <row r="718" spans="1:2" x14ac:dyDescent="0.2">
      <c r="A718" s="57">
        <v>43171</v>
      </c>
      <c r="B718">
        <v>1.2302</v>
      </c>
    </row>
    <row r="719" spans="1:2" x14ac:dyDescent="0.2">
      <c r="A719" s="57">
        <v>43170</v>
      </c>
    </row>
    <row r="720" spans="1:2" x14ac:dyDescent="0.2">
      <c r="A720" s="57">
        <v>43169</v>
      </c>
    </row>
    <row r="721" spans="1:2" x14ac:dyDescent="0.2">
      <c r="A721" s="57">
        <v>43168</v>
      </c>
      <c r="B721">
        <v>1.2291000000000001</v>
      </c>
    </row>
    <row r="722" spans="1:2" x14ac:dyDescent="0.2">
      <c r="A722" s="57">
        <v>43167</v>
      </c>
      <c r="B722">
        <v>1.2421</v>
      </c>
    </row>
    <row r="723" spans="1:2" x14ac:dyDescent="0.2">
      <c r="A723" s="57">
        <v>43166</v>
      </c>
      <c r="B723">
        <v>1.2417</v>
      </c>
    </row>
    <row r="724" spans="1:2" x14ac:dyDescent="0.2">
      <c r="A724" s="57">
        <v>43165</v>
      </c>
      <c r="B724">
        <v>1.2411000000000001</v>
      </c>
    </row>
    <row r="725" spans="1:2" x14ac:dyDescent="0.2">
      <c r="A725" s="57">
        <v>43164</v>
      </c>
      <c r="B725">
        <v>1.2306999999999999</v>
      </c>
    </row>
    <row r="726" spans="1:2" x14ac:dyDescent="0.2">
      <c r="A726" s="57">
        <v>43163</v>
      </c>
    </row>
    <row r="727" spans="1:2" x14ac:dyDescent="0.2">
      <c r="A727" s="57">
        <v>43162</v>
      </c>
    </row>
    <row r="728" spans="1:2" x14ac:dyDescent="0.2">
      <c r="A728" s="57">
        <v>43161</v>
      </c>
      <c r="B728">
        <v>1.2312000000000001</v>
      </c>
    </row>
    <row r="729" spans="1:2" x14ac:dyDescent="0.2">
      <c r="A729" s="57">
        <v>43160</v>
      </c>
      <c r="B729">
        <v>1.2171000000000001</v>
      </c>
    </row>
    <row r="730" spans="1:2" x14ac:dyDescent="0.2">
      <c r="A730" s="57">
        <v>43159</v>
      </c>
      <c r="B730">
        <v>1.2214</v>
      </c>
    </row>
    <row r="731" spans="1:2" x14ac:dyDescent="0.2">
      <c r="A731" s="57">
        <v>43158</v>
      </c>
      <c r="B731">
        <v>1.2301</v>
      </c>
    </row>
    <row r="732" spans="1:2" x14ac:dyDescent="0.2">
      <c r="A732" s="57">
        <v>43157</v>
      </c>
      <c r="B732">
        <v>1.232</v>
      </c>
    </row>
    <row r="733" spans="1:2" x14ac:dyDescent="0.2">
      <c r="A733" s="57">
        <v>43156</v>
      </c>
    </row>
    <row r="734" spans="1:2" x14ac:dyDescent="0.2">
      <c r="A734" s="57">
        <v>43155</v>
      </c>
    </row>
    <row r="735" spans="1:2" x14ac:dyDescent="0.2">
      <c r="A735" s="57">
        <v>43154</v>
      </c>
      <c r="B735">
        <v>1.2299</v>
      </c>
    </row>
    <row r="736" spans="1:2" x14ac:dyDescent="0.2">
      <c r="A736" s="57">
        <v>43153</v>
      </c>
      <c r="B736">
        <v>1.2276</v>
      </c>
    </row>
    <row r="737" spans="1:2" x14ac:dyDescent="0.2">
      <c r="A737" s="57">
        <v>43152</v>
      </c>
      <c r="B737">
        <v>1.2312000000000001</v>
      </c>
    </row>
    <row r="738" spans="1:2" x14ac:dyDescent="0.2">
      <c r="A738" s="57">
        <v>43151</v>
      </c>
      <c r="B738">
        <v>1.234</v>
      </c>
    </row>
    <row r="739" spans="1:2" x14ac:dyDescent="0.2">
      <c r="A739" s="57">
        <v>43150</v>
      </c>
      <c r="B739">
        <v>1.2410000000000001</v>
      </c>
    </row>
    <row r="740" spans="1:2" x14ac:dyDescent="0.2">
      <c r="A740" s="57">
        <v>43149</v>
      </c>
    </row>
    <row r="741" spans="1:2" x14ac:dyDescent="0.2">
      <c r="A741" s="57">
        <v>43148</v>
      </c>
    </row>
    <row r="742" spans="1:2" x14ac:dyDescent="0.2">
      <c r="A742" s="57">
        <v>43147</v>
      </c>
      <c r="B742">
        <v>1.2464</v>
      </c>
    </row>
    <row r="743" spans="1:2" x14ac:dyDescent="0.2">
      <c r="A743" s="57">
        <v>43146</v>
      </c>
      <c r="B743">
        <v>1.2493000000000001</v>
      </c>
    </row>
    <row r="744" spans="1:2" x14ac:dyDescent="0.2">
      <c r="A744" s="57">
        <v>43145</v>
      </c>
      <c r="B744">
        <v>1.2347999999999999</v>
      </c>
    </row>
    <row r="745" spans="1:2" x14ac:dyDescent="0.2">
      <c r="A745" s="57">
        <v>43144</v>
      </c>
      <c r="B745">
        <v>1.2333000000000001</v>
      </c>
    </row>
    <row r="746" spans="1:2" x14ac:dyDescent="0.2">
      <c r="A746" s="57">
        <v>43143</v>
      </c>
      <c r="B746">
        <v>1.2262999999999999</v>
      </c>
    </row>
    <row r="747" spans="1:2" x14ac:dyDescent="0.2">
      <c r="A747" s="57">
        <v>43142</v>
      </c>
    </row>
    <row r="748" spans="1:2" x14ac:dyDescent="0.2">
      <c r="A748" s="57">
        <v>43141</v>
      </c>
    </row>
    <row r="749" spans="1:2" x14ac:dyDescent="0.2">
      <c r="A749" s="57">
        <v>43140</v>
      </c>
      <c r="B749">
        <v>1.2273000000000001</v>
      </c>
    </row>
    <row r="750" spans="1:2" x14ac:dyDescent="0.2">
      <c r="A750" s="57">
        <v>43139</v>
      </c>
      <c r="B750">
        <v>1.2252000000000001</v>
      </c>
    </row>
    <row r="751" spans="1:2" x14ac:dyDescent="0.2">
      <c r="A751" s="57">
        <v>43138</v>
      </c>
      <c r="B751">
        <v>1.2338</v>
      </c>
    </row>
    <row r="752" spans="1:2" x14ac:dyDescent="0.2">
      <c r="A752" s="57">
        <v>43137</v>
      </c>
      <c r="B752">
        <v>1.2329000000000001</v>
      </c>
    </row>
    <row r="753" spans="1:2" x14ac:dyDescent="0.2">
      <c r="A753" s="57">
        <v>43136</v>
      </c>
      <c r="B753">
        <v>1.244</v>
      </c>
    </row>
    <row r="754" spans="1:2" x14ac:dyDescent="0.2">
      <c r="A754" s="57">
        <v>43135</v>
      </c>
    </row>
    <row r="755" spans="1:2" x14ac:dyDescent="0.2">
      <c r="A755" s="57">
        <v>43134</v>
      </c>
    </row>
    <row r="756" spans="1:2" x14ac:dyDescent="0.2">
      <c r="A756" s="57">
        <v>43133</v>
      </c>
      <c r="B756">
        <v>1.2492000000000001</v>
      </c>
    </row>
    <row r="757" spans="1:2" x14ac:dyDescent="0.2">
      <c r="A757" s="57">
        <v>43132</v>
      </c>
      <c r="B757">
        <v>1.2459</v>
      </c>
    </row>
    <row r="758" spans="1:2" x14ac:dyDescent="0.2">
      <c r="A758" s="57">
        <v>43131</v>
      </c>
      <c r="B758">
        <v>1.2457</v>
      </c>
    </row>
    <row r="759" spans="1:2" x14ac:dyDescent="0.2">
      <c r="A759" s="57">
        <v>43130</v>
      </c>
      <c r="B759">
        <v>1.2421</v>
      </c>
    </row>
    <row r="760" spans="1:2" x14ac:dyDescent="0.2">
      <c r="A760" s="57">
        <v>43129</v>
      </c>
      <c r="B760">
        <v>1.2379</v>
      </c>
    </row>
    <row r="761" spans="1:2" x14ac:dyDescent="0.2">
      <c r="A761" s="57">
        <v>43128</v>
      </c>
    </row>
    <row r="762" spans="1:2" x14ac:dyDescent="0.2">
      <c r="A762" s="57">
        <v>43127</v>
      </c>
    </row>
    <row r="763" spans="1:2" x14ac:dyDescent="0.2">
      <c r="A763" s="57">
        <v>43126</v>
      </c>
      <c r="B763">
        <v>1.2436</v>
      </c>
    </row>
    <row r="764" spans="1:2" x14ac:dyDescent="0.2">
      <c r="A764" s="57">
        <v>43125</v>
      </c>
      <c r="B764">
        <v>1.2406999999999999</v>
      </c>
    </row>
    <row r="765" spans="1:2" x14ac:dyDescent="0.2">
      <c r="A765" s="57">
        <v>43124</v>
      </c>
      <c r="B765">
        <v>1.2352000000000001</v>
      </c>
    </row>
    <row r="766" spans="1:2" x14ac:dyDescent="0.2">
      <c r="A766" s="57">
        <v>43123</v>
      </c>
      <c r="B766">
        <v>1.2249000000000001</v>
      </c>
    </row>
    <row r="767" spans="1:2" x14ac:dyDescent="0.2">
      <c r="A767" s="57">
        <v>43122</v>
      </c>
      <c r="B767">
        <v>1.2239</v>
      </c>
    </row>
    <row r="768" spans="1:2" x14ac:dyDescent="0.2">
      <c r="A768" s="57">
        <v>43121</v>
      </c>
    </row>
    <row r="769" spans="1:2" x14ac:dyDescent="0.2">
      <c r="A769" s="57">
        <v>43120</v>
      </c>
    </row>
    <row r="770" spans="1:2" x14ac:dyDescent="0.2">
      <c r="A770" s="57">
        <v>43119</v>
      </c>
      <c r="B770">
        <v>1.2255</v>
      </c>
    </row>
    <row r="771" spans="1:2" x14ac:dyDescent="0.2">
      <c r="A771" s="57">
        <v>43118</v>
      </c>
      <c r="B771">
        <v>1.2235</v>
      </c>
    </row>
    <row r="772" spans="1:2" x14ac:dyDescent="0.2">
      <c r="A772" s="57">
        <v>43117</v>
      </c>
      <c r="B772">
        <v>1.2202999999999999</v>
      </c>
    </row>
    <row r="773" spans="1:2" x14ac:dyDescent="0.2">
      <c r="A773" s="57">
        <v>43116</v>
      </c>
      <c r="B773">
        <v>1.2230000000000001</v>
      </c>
    </row>
    <row r="774" spans="1:2" x14ac:dyDescent="0.2">
      <c r="A774" s="57">
        <v>43115</v>
      </c>
      <c r="B774">
        <v>1.2277</v>
      </c>
    </row>
    <row r="775" spans="1:2" x14ac:dyDescent="0.2">
      <c r="A775" s="57">
        <v>43114</v>
      </c>
    </row>
    <row r="776" spans="1:2" x14ac:dyDescent="0.2">
      <c r="A776" s="57">
        <v>43113</v>
      </c>
    </row>
    <row r="777" spans="1:2" x14ac:dyDescent="0.2">
      <c r="A777" s="57">
        <v>43112</v>
      </c>
      <c r="B777">
        <v>1.2137</v>
      </c>
    </row>
    <row r="778" spans="1:2" x14ac:dyDescent="0.2">
      <c r="A778" s="57">
        <v>43111</v>
      </c>
      <c r="B778">
        <v>1.2017</v>
      </c>
    </row>
    <row r="779" spans="1:2" x14ac:dyDescent="0.2">
      <c r="A779" s="57">
        <v>43110</v>
      </c>
      <c r="B779">
        <v>1.1992</v>
      </c>
    </row>
    <row r="780" spans="1:2" x14ac:dyDescent="0.2">
      <c r="A780" s="57">
        <v>43109</v>
      </c>
      <c r="B780">
        <v>1.1932</v>
      </c>
    </row>
    <row r="781" spans="1:2" x14ac:dyDescent="0.2">
      <c r="A781" s="57">
        <v>43108</v>
      </c>
      <c r="B781">
        <v>1.1973</v>
      </c>
    </row>
    <row r="782" spans="1:2" x14ac:dyDescent="0.2">
      <c r="A782" s="57">
        <v>43107</v>
      </c>
    </row>
    <row r="783" spans="1:2" x14ac:dyDescent="0.2">
      <c r="A783" s="57">
        <v>43106</v>
      </c>
    </row>
    <row r="784" spans="1:2" x14ac:dyDescent="0.2">
      <c r="A784" s="57">
        <v>43105</v>
      </c>
      <c r="B784">
        <v>1.2044999999999999</v>
      </c>
    </row>
    <row r="785" spans="1:2" x14ac:dyDescent="0.2">
      <c r="A785" s="57">
        <v>43104</v>
      </c>
      <c r="B785">
        <v>1.2064999999999999</v>
      </c>
    </row>
    <row r="786" spans="1:2" x14ac:dyDescent="0.2">
      <c r="A786" s="57">
        <v>43103</v>
      </c>
      <c r="B786">
        <v>1.2022999999999999</v>
      </c>
    </row>
    <row r="787" spans="1:2" x14ac:dyDescent="0.2">
      <c r="A787" s="57">
        <v>43102</v>
      </c>
      <c r="B787">
        <v>1.2064999999999999</v>
      </c>
    </row>
    <row r="788" spans="1:2" x14ac:dyDescent="0.2">
      <c r="A788" s="57">
        <v>43101</v>
      </c>
    </row>
    <row r="789" spans="1:2" x14ac:dyDescent="0.2">
      <c r="A789" s="57">
        <v>43100</v>
      </c>
    </row>
    <row r="790" spans="1:2" x14ac:dyDescent="0.2">
      <c r="A790" s="57">
        <v>43099</v>
      </c>
    </row>
    <row r="791" spans="1:2" x14ac:dyDescent="0.2">
      <c r="A791" s="57">
        <v>43098</v>
      </c>
      <c r="B791">
        <v>1.1993</v>
      </c>
    </row>
    <row r="792" spans="1:2" x14ac:dyDescent="0.2">
      <c r="A792" s="57">
        <v>43097</v>
      </c>
      <c r="B792">
        <v>1.1934</v>
      </c>
    </row>
    <row r="793" spans="1:2" x14ac:dyDescent="0.2">
      <c r="A793" s="57">
        <v>43096</v>
      </c>
      <c r="B793">
        <v>1.1895</v>
      </c>
    </row>
    <row r="794" spans="1:2" x14ac:dyDescent="0.2">
      <c r="A794" s="57">
        <v>43095</v>
      </c>
    </row>
    <row r="795" spans="1:2" x14ac:dyDescent="0.2">
      <c r="A795" s="57">
        <v>43094</v>
      </c>
    </row>
    <row r="796" spans="1:2" x14ac:dyDescent="0.2">
      <c r="A796" s="57">
        <v>43093</v>
      </c>
    </row>
    <row r="797" spans="1:2" x14ac:dyDescent="0.2">
      <c r="A797" s="57">
        <v>43092</v>
      </c>
    </row>
    <row r="798" spans="1:2" x14ac:dyDescent="0.2">
      <c r="A798" s="57">
        <v>43091</v>
      </c>
      <c r="B798">
        <v>1.1853</v>
      </c>
    </row>
    <row r="799" spans="1:2" x14ac:dyDescent="0.2">
      <c r="A799" s="57">
        <v>43090</v>
      </c>
      <c r="B799">
        <v>1.1859</v>
      </c>
    </row>
    <row r="800" spans="1:2" x14ac:dyDescent="0.2">
      <c r="A800" s="57">
        <v>43089</v>
      </c>
      <c r="B800">
        <v>1.1845000000000001</v>
      </c>
    </row>
    <row r="801" spans="1:2" x14ac:dyDescent="0.2">
      <c r="A801" s="57">
        <v>43088</v>
      </c>
      <c r="B801">
        <v>1.1822999999999999</v>
      </c>
    </row>
    <row r="802" spans="1:2" x14ac:dyDescent="0.2">
      <c r="A802" s="57">
        <v>43087</v>
      </c>
      <c r="B802">
        <v>1.1795</v>
      </c>
    </row>
    <row r="803" spans="1:2" x14ac:dyDescent="0.2">
      <c r="A803" s="57">
        <v>43086</v>
      </c>
    </row>
    <row r="804" spans="1:2" x14ac:dyDescent="0.2">
      <c r="A804" s="57">
        <v>43085</v>
      </c>
    </row>
    <row r="805" spans="1:2" x14ac:dyDescent="0.2">
      <c r="A805" s="57">
        <v>43084</v>
      </c>
      <c r="B805">
        <v>1.1806000000000001</v>
      </c>
    </row>
    <row r="806" spans="1:2" x14ac:dyDescent="0.2">
      <c r="A806" s="57">
        <v>43083</v>
      </c>
      <c r="B806">
        <v>1.1845000000000001</v>
      </c>
    </row>
    <row r="807" spans="1:2" x14ac:dyDescent="0.2">
      <c r="A807" s="57">
        <v>43082</v>
      </c>
      <c r="B807">
        <v>1.1736</v>
      </c>
    </row>
    <row r="808" spans="1:2" x14ac:dyDescent="0.2">
      <c r="A808" s="57">
        <v>43081</v>
      </c>
      <c r="B808">
        <v>1.1766000000000001</v>
      </c>
    </row>
    <row r="809" spans="1:2" x14ac:dyDescent="0.2">
      <c r="A809" s="57">
        <v>43080</v>
      </c>
      <c r="B809">
        <v>1.1796</v>
      </c>
    </row>
    <row r="810" spans="1:2" x14ac:dyDescent="0.2">
      <c r="A810" s="57">
        <v>43079</v>
      </c>
    </row>
    <row r="811" spans="1:2" x14ac:dyDescent="0.2">
      <c r="A811" s="57">
        <v>43078</v>
      </c>
    </row>
    <row r="812" spans="1:2" x14ac:dyDescent="0.2">
      <c r="A812" s="57">
        <v>43077</v>
      </c>
      <c r="B812">
        <v>1.1741999999999999</v>
      </c>
    </row>
    <row r="813" spans="1:2" x14ac:dyDescent="0.2">
      <c r="A813" s="57">
        <v>43076</v>
      </c>
      <c r="B813">
        <v>1.1786000000000001</v>
      </c>
    </row>
    <row r="814" spans="1:2" x14ac:dyDescent="0.2">
      <c r="A814" s="57">
        <v>43075</v>
      </c>
      <c r="B814">
        <v>1.1817</v>
      </c>
    </row>
    <row r="815" spans="1:2" x14ac:dyDescent="0.2">
      <c r="A815" s="57">
        <v>43074</v>
      </c>
      <c r="B815">
        <v>1.1847000000000001</v>
      </c>
    </row>
    <row r="816" spans="1:2" x14ac:dyDescent="0.2">
      <c r="A816" s="57">
        <v>43073</v>
      </c>
      <c r="B816">
        <v>1.1865000000000001</v>
      </c>
    </row>
    <row r="817" spans="1:2" x14ac:dyDescent="0.2">
      <c r="A817" s="57">
        <v>43072</v>
      </c>
    </row>
    <row r="818" spans="1:2" x14ac:dyDescent="0.2">
      <c r="A818" s="57">
        <v>43071</v>
      </c>
    </row>
    <row r="819" spans="1:2" x14ac:dyDescent="0.2">
      <c r="A819" s="57">
        <v>43070</v>
      </c>
      <c r="B819">
        <v>1.1884999999999999</v>
      </c>
    </row>
    <row r="820" spans="1:2" x14ac:dyDescent="0.2">
      <c r="A820" s="57">
        <v>43069</v>
      </c>
      <c r="B820">
        <v>1.1849000000000001</v>
      </c>
    </row>
    <row r="821" spans="1:2" x14ac:dyDescent="0.2">
      <c r="A821" s="57">
        <v>43068</v>
      </c>
      <c r="B821">
        <v>1.1827000000000001</v>
      </c>
    </row>
    <row r="822" spans="1:2" x14ac:dyDescent="0.2">
      <c r="A822" s="57">
        <v>43067</v>
      </c>
      <c r="B822">
        <v>1.1888000000000001</v>
      </c>
    </row>
    <row r="823" spans="1:2" x14ac:dyDescent="0.2">
      <c r="A823" s="57">
        <v>43066</v>
      </c>
      <c r="B823">
        <v>1.1952</v>
      </c>
    </row>
    <row r="824" spans="1:2" x14ac:dyDescent="0.2">
      <c r="A824" s="57">
        <v>43065</v>
      </c>
    </row>
    <row r="825" spans="1:2" x14ac:dyDescent="0.2">
      <c r="A825" s="57">
        <v>43064</v>
      </c>
    </row>
    <row r="826" spans="1:2" x14ac:dyDescent="0.2">
      <c r="A826" s="57">
        <v>43063</v>
      </c>
      <c r="B826">
        <v>1.1877</v>
      </c>
    </row>
    <row r="827" spans="1:2" x14ac:dyDescent="0.2">
      <c r="A827" s="57">
        <v>43062</v>
      </c>
      <c r="B827">
        <v>1.1848000000000001</v>
      </c>
    </row>
    <row r="828" spans="1:2" x14ac:dyDescent="0.2">
      <c r="A828" s="57">
        <v>43061</v>
      </c>
      <c r="B828">
        <v>1.1749000000000001</v>
      </c>
    </row>
    <row r="829" spans="1:2" x14ac:dyDescent="0.2">
      <c r="A829" s="57">
        <v>43060</v>
      </c>
      <c r="B829">
        <v>1.1718</v>
      </c>
    </row>
    <row r="830" spans="1:2" x14ac:dyDescent="0.2">
      <c r="A830" s="57">
        <v>43059</v>
      </c>
      <c r="B830">
        <v>1.1780999999999999</v>
      </c>
    </row>
    <row r="831" spans="1:2" x14ac:dyDescent="0.2">
      <c r="A831" s="57">
        <v>43058</v>
      </c>
    </row>
    <row r="832" spans="1:2" x14ac:dyDescent="0.2">
      <c r="A832" s="57">
        <v>43057</v>
      </c>
    </row>
    <row r="833" spans="1:2" x14ac:dyDescent="0.2">
      <c r="A833" s="57">
        <v>43056</v>
      </c>
      <c r="B833">
        <v>1.1795</v>
      </c>
    </row>
    <row r="834" spans="1:2" x14ac:dyDescent="0.2">
      <c r="A834" s="57">
        <v>43055</v>
      </c>
      <c r="B834">
        <v>1.1771</v>
      </c>
    </row>
    <row r="835" spans="1:2" x14ac:dyDescent="0.2">
      <c r="A835" s="57">
        <v>43054</v>
      </c>
      <c r="B835">
        <v>1.1839999999999999</v>
      </c>
    </row>
    <row r="836" spans="1:2" x14ac:dyDescent="0.2">
      <c r="A836" s="57">
        <v>43053</v>
      </c>
      <c r="B836">
        <v>1.1745000000000001</v>
      </c>
    </row>
    <row r="837" spans="1:2" x14ac:dyDescent="0.2">
      <c r="A837" s="57">
        <v>43052</v>
      </c>
      <c r="B837">
        <v>1.1656</v>
      </c>
    </row>
    <row r="838" spans="1:2" x14ac:dyDescent="0.2">
      <c r="A838" s="57">
        <v>43051</v>
      </c>
    </row>
    <row r="839" spans="1:2" x14ac:dyDescent="0.2">
      <c r="A839" s="57">
        <v>43050</v>
      </c>
    </row>
    <row r="840" spans="1:2" x14ac:dyDescent="0.2">
      <c r="A840" s="57">
        <v>43049</v>
      </c>
      <c r="B840">
        <v>1.1654</v>
      </c>
    </row>
    <row r="841" spans="1:2" x14ac:dyDescent="0.2">
      <c r="A841" s="57">
        <v>43048</v>
      </c>
      <c r="B841">
        <v>1.163</v>
      </c>
    </row>
    <row r="842" spans="1:2" x14ac:dyDescent="0.2">
      <c r="A842" s="57">
        <v>43047</v>
      </c>
      <c r="B842">
        <v>1.159</v>
      </c>
    </row>
    <row r="843" spans="1:2" x14ac:dyDescent="0.2">
      <c r="A843" s="57">
        <v>43046</v>
      </c>
      <c r="B843">
        <v>1.1561999999999999</v>
      </c>
    </row>
    <row r="844" spans="1:2" x14ac:dyDescent="0.2">
      <c r="A844" s="57">
        <v>43045</v>
      </c>
      <c r="B844">
        <v>1.159</v>
      </c>
    </row>
    <row r="845" spans="1:2" x14ac:dyDescent="0.2">
      <c r="A845" s="57">
        <v>43044</v>
      </c>
    </row>
    <row r="846" spans="1:2" x14ac:dyDescent="0.2">
      <c r="A846" s="57">
        <v>43043</v>
      </c>
    </row>
    <row r="847" spans="1:2" x14ac:dyDescent="0.2">
      <c r="A847" s="57">
        <v>43042</v>
      </c>
      <c r="B847">
        <v>1.1657</v>
      </c>
    </row>
    <row r="848" spans="1:2" x14ac:dyDescent="0.2">
      <c r="A848" s="57">
        <v>43041</v>
      </c>
      <c r="B848">
        <v>1.1645000000000001</v>
      </c>
    </row>
    <row r="849" spans="1:2" x14ac:dyDescent="0.2">
      <c r="A849" s="57">
        <v>43040</v>
      </c>
      <c r="B849">
        <v>1.1612</v>
      </c>
    </row>
    <row r="850" spans="1:2" x14ac:dyDescent="0.2">
      <c r="A850" s="57">
        <v>43039</v>
      </c>
      <c r="B850">
        <v>1.1637999999999999</v>
      </c>
    </row>
    <row r="851" spans="1:2" x14ac:dyDescent="0.2">
      <c r="A851" s="57">
        <v>43038</v>
      </c>
      <c r="B851">
        <v>1.1612</v>
      </c>
    </row>
    <row r="852" spans="1:2" x14ac:dyDescent="0.2">
      <c r="A852" s="57">
        <v>43037</v>
      </c>
    </row>
    <row r="853" spans="1:2" x14ac:dyDescent="0.2">
      <c r="A853" s="57">
        <v>43036</v>
      </c>
    </row>
    <row r="854" spans="1:2" x14ac:dyDescent="0.2">
      <c r="A854" s="57">
        <v>43035</v>
      </c>
      <c r="B854">
        <v>1.1605000000000001</v>
      </c>
    </row>
    <row r="855" spans="1:2" x14ac:dyDescent="0.2">
      <c r="A855" s="57">
        <v>43034</v>
      </c>
      <c r="B855">
        <v>1.1753</v>
      </c>
    </row>
    <row r="856" spans="1:2" x14ac:dyDescent="0.2">
      <c r="A856" s="57">
        <v>43033</v>
      </c>
      <c r="B856">
        <v>1.1785000000000001</v>
      </c>
    </row>
    <row r="857" spans="1:2" x14ac:dyDescent="0.2">
      <c r="A857" s="57">
        <v>43032</v>
      </c>
      <c r="B857">
        <v>1.1760999999999999</v>
      </c>
    </row>
    <row r="858" spans="1:2" x14ac:dyDescent="0.2">
      <c r="A858" s="57">
        <v>43031</v>
      </c>
      <c r="B858">
        <v>1.1739999999999999</v>
      </c>
    </row>
    <row r="859" spans="1:2" x14ac:dyDescent="0.2">
      <c r="A859" s="57">
        <v>43030</v>
      </c>
    </row>
    <row r="860" spans="1:2" x14ac:dyDescent="0.2">
      <c r="A860" s="57">
        <v>43029</v>
      </c>
    </row>
    <row r="861" spans="1:2" x14ac:dyDescent="0.2">
      <c r="A861" s="57">
        <v>43028</v>
      </c>
      <c r="B861">
        <v>1.1818</v>
      </c>
    </row>
    <row r="862" spans="1:2" x14ac:dyDescent="0.2">
      <c r="A862" s="57">
        <v>43027</v>
      </c>
      <c r="B862">
        <v>1.1834</v>
      </c>
    </row>
    <row r="863" spans="1:2" x14ac:dyDescent="0.2">
      <c r="A863" s="57">
        <v>43026</v>
      </c>
      <c r="B863">
        <v>1.1749000000000001</v>
      </c>
    </row>
    <row r="864" spans="1:2" x14ac:dyDescent="0.2">
      <c r="A864" s="57">
        <v>43025</v>
      </c>
      <c r="B864">
        <v>1.1758999999999999</v>
      </c>
    </row>
    <row r="865" spans="1:2" x14ac:dyDescent="0.2">
      <c r="A865" s="57">
        <v>43024</v>
      </c>
      <c r="B865">
        <v>1.1802999999999999</v>
      </c>
    </row>
    <row r="866" spans="1:2" x14ac:dyDescent="0.2">
      <c r="A866" s="57">
        <v>43023</v>
      </c>
    </row>
    <row r="867" spans="1:2" x14ac:dyDescent="0.2">
      <c r="A867" s="57">
        <v>43022</v>
      </c>
    </row>
    <row r="868" spans="1:2" x14ac:dyDescent="0.2">
      <c r="A868" s="57">
        <v>43021</v>
      </c>
      <c r="B868">
        <v>1.181</v>
      </c>
    </row>
    <row r="869" spans="1:2" x14ac:dyDescent="0.2">
      <c r="A869" s="57">
        <v>43020</v>
      </c>
      <c r="B869">
        <v>1.1856</v>
      </c>
    </row>
    <row r="870" spans="1:2" x14ac:dyDescent="0.2">
      <c r="A870" s="57">
        <v>43019</v>
      </c>
      <c r="B870">
        <v>1.1830000000000001</v>
      </c>
    </row>
    <row r="871" spans="1:2" x14ac:dyDescent="0.2">
      <c r="A871" s="57">
        <v>43018</v>
      </c>
      <c r="B871">
        <v>1.1797</v>
      </c>
    </row>
    <row r="872" spans="1:2" x14ac:dyDescent="0.2">
      <c r="A872" s="57">
        <v>43017</v>
      </c>
      <c r="B872">
        <v>1.1746000000000001</v>
      </c>
    </row>
    <row r="873" spans="1:2" x14ac:dyDescent="0.2">
      <c r="A873" s="57">
        <v>43016</v>
      </c>
    </row>
    <row r="874" spans="1:2" x14ac:dyDescent="0.2">
      <c r="A874" s="57">
        <v>43015</v>
      </c>
    </row>
    <row r="875" spans="1:2" x14ac:dyDescent="0.2">
      <c r="A875" s="57">
        <v>43014</v>
      </c>
      <c r="B875">
        <v>1.1707000000000001</v>
      </c>
    </row>
    <row r="876" spans="1:2" x14ac:dyDescent="0.2">
      <c r="A876" s="57">
        <v>43013</v>
      </c>
      <c r="B876">
        <v>1.1741999999999999</v>
      </c>
    </row>
    <row r="877" spans="1:2" x14ac:dyDescent="0.2">
      <c r="A877" s="57">
        <v>43012</v>
      </c>
      <c r="B877">
        <v>1.1787000000000001</v>
      </c>
    </row>
    <row r="878" spans="1:2" x14ac:dyDescent="0.2">
      <c r="A878" s="57">
        <v>43011</v>
      </c>
      <c r="B878">
        <v>1.1753</v>
      </c>
    </row>
    <row r="879" spans="1:2" x14ac:dyDescent="0.2">
      <c r="A879" s="57">
        <v>43010</v>
      </c>
      <c r="B879">
        <v>1.1744000000000001</v>
      </c>
    </row>
    <row r="880" spans="1:2" x14ac:dyDescent="0.2">
      <c r="A880" s="57">
        <v>43009</v>
      </c>
    </row>
    <row r="881" spans="1:2" x14ac:dyDescent="0.2">
      <c r="A881" s="57">
        <v>43008</v>
      </c>
    </row>
    <row r="882" spans="1:2" x14ac:dyDescent="0.2">
      <c r="A882" s="57">
        <v>43007</v>
      </c>
      <c r="B882">
        <v>1.1806000000000001</v>
      </c>
    </row>
    <row r="883" spans="1:2" x14ac:dyDescent="0.2">
      <c r="A883" s="57">
        <v>43006</v>
      </c>
      <c r="B883">
        <v>1.1778</v>
      </c>
    </row>
    <row r="884" spans="1:2" x14ac:dyDescent="0.2">
      <c r="A884" s="57">
        <v>43005</v>
      </c>
      <c r="B884">
        <v>1.1740999999999999</v>
      </c>
    </row>
    <row r="885" spans="1:2" x14ac:dyDescent="0.2">
      <c r="A885" s="57">
        <v>43004</v>
      </c>
      <c r="B885">
        <v>1.1787000000000001</v>
      </c>
    </row>
    <row r="886" spans="1:2" x14ac:dyDescent="0.2">
      <c r="A886" s="57">
        <v>43003</v>
      </c>
      <c r="B886">
        <v>1.1867000000000001</v>
      </c>
    </row>
    <row r="887" spans="1:2" x14ac:dyDescent="0.2">
      <c r="A887" s="57">
        <v>43002</v>
      </c>
    </row>
    <row r="888" spans="1:2" x14ac:dyDescent="0.2">
      <c r="A888" s="57">
        <v>43001</v>
      </c>
    </row>
    <row r="889" spans="1:2" x14ac:dyDescent="0.2">
      <c r="A889" s="57">
        <v>43000</v>
      </c>
      <c r="B889">
        <v>1.1960999999999999</v>
      </c>
    </row>
    <row r="890" spans="1:2" x14ac:dyDescent="0.2">
      <c r="A890" s="57">
        <v>42999</v>
      </c>
      <c r="B890">
        <v>1.1904999999999999</v>
      </c>
    </row>
    <row r="891" spans="1:2" x14ac:dyDescent="0.2">
      <c r="A891" s="57">
        <v>42998</v>
      </c>
      <c r="B891">
        <v>1.2007000000000001</v>
      </c>
    </row>
    <row r="892" spans="1:2" x14ac:dyDescent="0.2">
      <c r="A892" s="57">
        <v>42997</v>
      </c>
      <c r="B892">
        <v>1.1972</v>
      </c>
    </row>
    <row r="893" spans="1:2" x14ac:dyDescent="0.2">
      <c r="A893" s="57">
        <v>42996</v>
      </c>
      <c r="B893">
        <v>1.1948000000000001</v>
      </c>
    </row>
    <row r="894" spans="1:2" x14ac:dyDescent="0.2">
      <c r="A894" s="57">
        <v>42995</v>
      </c>
    </row>
    <row r="895" spans="1:2" x14ac:dyDescent="0.2">
      <c r="A895" s="57">
        <v>42994</v>
      </c>
    </row>
    <row r="896" spans="1:2" x14ac:dyDescent="0.2">
      <c r="A896" s="57">
        <v>42993</v>
      </c>
      <c r="B896">
        <v>1.1962999999999999</v>
      </c>
    </row>
    <row r="897" spans="1:2" x14ac:dyDescent="0.2">
      <c r="A897" s="57">
        <v>42992</v>
      </c>
      <c r="B897">
        <v>1.1884999999999999</v>
      </c>
    </row>
    <row r="898" spans="1:2" x14ac:dyDescent="0.2">
      <c r="A898" s="57">
        <v>42991</v>
      </c>
      <c r="B898">
        <v>1.1979</v>
      </c>
    </row>
    <row r="899" spans="1:2" x14ac:dyDescent="0.2">
      <c r="A899" s="57">
        <v>42990</v>
      </c>
      <c r="B899">
        <v>1.1933</v>
      </c>
    </row>
    <row r="900" spans="1:2" x14ac:dyDescent="0.2">
      <c r="A900" s="57">
        <v>42989</v>
      </c>
      <c r="B900">
        <v>1.1997</v>
      </c>
    </row>
    <row r="901" spans="1:2" x14ac:dyDescent="0.2">
      <c r="A901" s="57">
        <v>42988</v>
      </c>
    </row>
    <row r="902" spans="1:2" x14ac:dyDescent="0.2">
      <c r="A902" s="57">
        <v>42987</v>
      </c>
    </row>
    <row r="903" spans="1:2" x14ac:dyDescent="0.2">
      <c r="A903" s="57">
        <v>42986</v>
      </c>
      <c r="B903">
        <v>1.206</v>
      </c>
    </row>
    <row r="904" spans="1:2" x14ac:dyDescent="0.2">
      <c r="A904" s="57">
        <v>42985</v>
      </c>
      <c r="B904">
        <v>1.1971000000000001</v>
      </c>
    </row>
    <row r="905" spans="1:2" x14ac:dyDescent="0.2">
      <c r="A905" s="57">
        <v>42984</v>
      </c>
      <c r="B905">
        <v>1.1931</v>
      </c>
    </row>
    <row r="906" spans="1:2" x14ac:dyDescent="0.2">
      <c r="A906" s="57">
        <v>42983</v>
      </c>
      <c r="B906">
        <v>1.1890000000000001</v>
      </c>
    </row>
    <row r="907" spans="1:2" x14ac:dyDescent="0.2">
      <c r="A907" s="57">
        <v>42982</v>
      </c>
      <c r="B907">
        <v>1.1904999999999999</v>
      </c>
    </row>
    <row r="908" spans="1:2" x14ac:dyDescent="0.2">
      <c r="A908" s="57">
        <v>42981</v>
      </c>
    </row>
    <row r="909" spans="1:2" x14ac:dyDescent="0.2">
      <c r="A909" s="57">
        <v>42980</v>
      </c>
    </row>
    <row r="910" spans="1:2" x14ac:dyDescent="0.2">
      <c r="A910" s="57">
        <v>42979</v>
      </c>
      <c r="B910">
        <v>1.1919999999999999</v>
      </c>
    </row>
    <row r="911" spans="1:2" x14ac:dyDescent="0.2">
      <c r="A911" s="57">
        <v>42978</v>
      </c>
      <c r="B911">
        <v>1.1825000000000001</v>
      </c>
    </row>
    <row r="912" spans="1:2" x14ac:dyDescent="0.2">
      <c r="A912" s="57">
        <v>42977</v>
      </c>
      <c r="B912">
        <v>1.1916</v>
      </c>
    </row>
    <row r="913" spans="1:2" x14ac:dyDescent="0.2">
      <c r="A913" s="57">
        <v>42976</v>
      </c>
      <c r="B913">
        <v>1.2048000000000001</v>
      </c>
    </row>
    <row r="914" spans="1:2" x14ac:dyDescent="0.2">
      <c r="A914" s="57">
        <v>42975</v>
      </c>
      <c r="B914">
        <v>1.1924999999999999</v>
      </c>
    </row>
    <row r="915" spans="1:2" x14ac:dyDescent="0.2">
      <c r="A915" s="57">
        <v>42974</v>
      </c>
    </row>
    <row r="916" spans="1:2" x14ac:dyDescent="0.2">
      <c r="A916" s="57">
        <v>42973</v>
      </c>
    </row>
    <row r="917" spans="1:2" x14ac:dyDescent="0.2">
      <c r="A917" s="57">
        <v>42972</v>
      </c>
      <c r="B917">
        <v>1.1808000000000001</v>
      </c>
    </row>
    <row r="918" spans="1:2" x14ac:dyDescent="0.2">
      <c r="A918" s="57">
        <v>42971</v>
      </c>
      <c r="B918">
        <v>1.1806000000000001</v>
      </c>
    </row>
    <row r="919" spans="1:2" x14ac:dyDescent="0.2">
      <c r="A919" s="57">
        <v>42970</v>
      </c>
      <c r="B919">
        <v>1.1798999999999999</v>
      </c>
    </row>
    <row r="920" spans="1:2" x14ac:dyDescent="0.2">
      <c r="A920" s="57">
        <v>42969</v>
      </c>
      <c r="B920">
        <v>1.1771</v>
      </c>
    </row>
    <row r="921" spans="1:2" x14ac:dyDescent="0.2">
      <c r="A921" s="57">
        <v>42968</v>
      </c>
      <c r="B921">
        <v>1.1760999999999999</v>
      </c>
    </row>
    <row r="922" spans="1:2" x14ac:dyDescent="0.2">
      <c r="A922" s="57">
        <v>42967</v>
      </c>
    </row>
    <row r="923" spans="1:2" x14ac:dyDescent="0.2">
      <c r="A923" s="57">
        <v>42966</v>
      </c>
    </row>
    <row r="924" spans="1:2" x14ac:dyDescent="0.2">
      <c r="A924" s="57">
        <v>42965</v>
      </c>
      <c r="B924">
        <v>1.1739999999999999</v>
      </c>
    </row>
    <row r="925" spans="1:2" x14ac:dyDescent="0.2">
      <c r="A925" s="57">
        <v>42964</v>
      </c>
      <c r="B925">
        <v>1.1697</v>
      </c>
    </row>
    <row r="926" spans="1:2" x14ac:dyDescent="0.2">
      <c r="A926" s="57">
        <v>42963</v>
      </c>
      <c r="B926">
        <v>1.171</v>
      </c>
    </row>
    <row r="927" spans="1:2" x14ac:dyDescent="0.2">
      <c r="A927" s="57">
        <v>42962</v>
      </c>
      <c r="B927">
        <v>1.1744000000000001</v>
      </c>
    </row>
    <row r="928" spans="1:2" x14ac:dyDescent="0.2">
      <c r="A928" s="57">
        <v>42961</v>
      </c>
      <c r="B928">
        <v>1.1797</v>
      </c>
    </row>
    <row r="929" spans="1:2" x14ac:dyDescent="0.2">
      <c r="A929" s="57">
        <v>42960</v>
      </c>
    </row>
    <row r="930" spans="1:2" x14ac:dyDescent="0.2">
      <c r="A930" s="57">
        <v>42959</v>
      </c>
    </row>
    <row r="931" spans="1:2" x14ac:dyDescent="0.2">
      <c r="A931" s="57">
        <v>42958</v>
      </c>
      <c r="B931">
        <v>1.1765000000000001</v>
      </c>
    </row>
    <row r="932" spans="1:2" x14ac:dyDescent="0.2">
      <c r="A932" s="57">
        <v>42957</v>
      </c>
      <c r="B932">
        <v>1.1732</v>
      </c>
    </row>
    <row r="933" spans="1:2" x14ac:dyDescent="0.2">
      <c r="A933" s="57">
        <v>42956</v>
      </c>
      <c r="B933">
        <v>1.1731</v>
      </c>
    </row>
    <row r="934" spans="1:2" x14ac:dyDescent="0.2">
      <c r="A934" s="57">
        <v>42955</v>
      </c>
      <c r="B934">
        <v>1.1814</v>
      </c>
    </row>
    <row r="935" spans="1:2" x14ac:dyDescent="0.2">
      <c r="A935" s="57">
        <v>42954</v>
      </c>
      <c r="B935">
        <v>1.1797</v>
      </c>
    </row>
    <row r="936" spans="1:2" x14ac:dyDescent="0.2">
      <c r="A936" s="57">
        <v>42953</v>
      </c>
    </row>
    <row r="937" spans="1:2" x14ac:dyDescent="0.2">
      <c r="A937" s="57">
        <v>42952</v>
      </c>
    </row>
    <row r="938" spans="1:2" x14ac:dyDescent="0.2">
      <c r="A938" s="57">
        <v>42951</v>
      </c>
      <c r="B938">
        <v>1.1868000000000001</v>
      </c>
    </row>
    <row r="939" spans="1:2" x14ac:dyDescent="0.2">
      <c r="A939" s="57">
        <v>42950</v>
      </c>
      <c r="B939">
        <v>1.1859999999999999</v>
      </c>
    </row>
    <row r="940" spans="1:2" x14ac:dyDescent="0.2">
      <c r="A940" s="57">
        <v>42949</v>
      </c>
      <c r="B940">
        <v>1.1829000000000001</v>
      </c>
    </row>
    <row r="941" spans="1:2" x14ac:dyDescent="0.2">
      <c r="A941" s="57">
        <v>42948</v>
      </c>
      <c r="B941">
        <v>1.1812</v>
      </c>
    </row>
    <row r="942" spans="1:2" x14ac:dyDescent="0.2">
      <c r="A942" s="57">
        <v>42947</v>
      </c>
      <c r="B942">
        <v>1.1727000000000001</v>
      </c>
    </row>
    <row r="943" spans="1:2" x14ac:dyDescent="0.2">
      <c r="A943" s="57">
        <v>42946</v>
      </c>
    </row>
    <row r="944" spans="1:2" x14ac:dyDescent="0.2">
      <c r="A944" s="57">
        <v>42945</v>
      </c>
    </row>
    <row r="945" spans="1:2" x14ac:dyDescent="0.2">
      <c r="A945" s="57">
        <v>42944</v>
      </c>
      <c r="B945">
        <v>1.1729000000000001</v>
      </c>
    </row>
    <row r="946" spans="1:2" x14ac:dyDescent="0.2">
      <c r="A946" s="57">
        <v>42943</v>
      </c>
      <c r="B946">
        <v>1.1694</v>
      </c>
    </row>
    <row r="947" spans="1:2" x14ac:dyDescent="0.2">
      <c r="A947" s="57">
        <v>42942</v>
      </c>
      <c r="B947">
        <v>1.1644000000000001</v>
      </c>
    </row>
    <row r="948" spans="1:2" x14ac:dyDescent="0.2">
      <c r="A948" s="57">
        <v>42941</v>
      </c>
      <c r="B948">
        <v>1.1694</v>
      </c>
    </row>
    <row r="949" spans="1:2" x14ac:dyDescent="0.2">
      <c r="A949" s="57">
        <v>42940</v>
      </c>
      <c r="B949">
        <v>1.1648000000000001</v>
      </c>
    </row>
    <row r="950" spans="1:2" x14ac:dyDescent="0.2">
      <c r="A950" s="57">
        <v>42939</v>
      </c>
    </row>
    <row r="951" spans="1:2" x14ac:dyDescent="0.2">
      <c r="A951" s="57">
        <v>42938</v>
      </c>
    </row>
    <row r="952" spans="1:2" x14ac:dyDescent="0.2">
      <c r="A952" s="57">
        <v>42937</v>
      </c>
      <c r="B952">
        <v>1.1641999999999999</v>
      </c>
    </row>
    <row r="953" spans="1:2" x14ac:dyDescent="0.2">
      <c r="A953" s="57">
        <v>42936</v>
      </c>
      <c r="B953">
        <v>1.1485000000000001</v>
      </c>
    </row>
    <row r="954" spans="1:2" x14ac:dyDescent="0.2">
      <c r="A954" s="57">
        <v>42935</v>
      </c>
      <c r="B954">
        <v>1.1533</v>
      </c>
    </row>
    <row r="955" spans="1:2" x14ac:dyDescent="0.2">
      <c r="A955" s="57">
        <v>42934</v>
      </c>
      <c r="B955">
        <v>1.1555</v>
      </c>
    </row>
    <row r="956" spans="1:2" x14ac:dyDescent="0.2">
      <c r="A956" s="57">
        <v>42933</v>
      </c>
      <c r="B956">
        <v>1.1462000000000001</v>
      </c>
    </row>
    <row r="957" spans="1:2" x14ac:dyDescent="0.2">
      <c r="A957" s="57">
        <v>42932</v>
      </c>
    </row>
    <row r="958" spans="1:2" x14ac:dyDescent="0.2">
      <c r="A958" s="57">
        <v>42931</v>
      </c>
    </row>
    <row r="959" spans="1:2" x14ac:dyDescent="0.2">
      <c r="A959" s="57">
        <v>42930</v>
      </c>
      <c r="B959">
        <v>1.1415</v>
      </c>
    </row>
    <row r="960" spans="1:2" x14ac:dyDescent="0.2">
      <c r="A960" s="57">
        <v>42929</v>
      </c>
      <c r="B960">
        <v>1.1416999999999999</v>
      </c>
    </row>
    <row r="961" spans="1:2" x14ac:dyDescent="0.2">
      <c r="A961" s="57">
        <v>42928</v>
      </c>
      <c r="B961">
        <v>1.1449</v>
      </c>
    </row>
    <row r="962" spans="1:2" x14ac:dyDescent="0.2">
      <c r="A962" s="57">
        <v>42927</v>
      </c>
      <c r="B962">
        <v>1.1405000000000001</v>
      </c>
    </row>
    <row r="963" spans="1:2" x14ac:dyDescent="0.2">
      <c r="A963" s="57">
        <v>42926</v>
      </c>
      <c r="B963">
        <v>1.1387</v>
      </c>
    </row>
    <row r="964" spans="1:2" x14ac:dyDescent="0.2">
      <c r="A964" s="57">
        <v>42925</v>
      </c>
    </row>
    <row r="965" spans="1:2" x14ac:dyDescent="0.2">
      <c r="A965" s="57">
        <v>42924</v>
      </c>
    </row>
    <row r="966" spans="1:2" x14ac:dyDescent="0.2">
      <c r="A966" s="57">
        <v>42923</v>
      </c>
      <c r="B966">
        <v>1.1412</v>
      </c>
    </row>
    <row r="967" spans="1:2" x14ac:dyDescent="0.2">
      <c r="A967" s="57">
        <v>42922</v>
      </c>
      <c r="B967">
        <v>1.1385000000000001</v>
      </c>
    </row>
    <row r="968" spans="1:2" x14ac:dyDescent="0.2">
      <c r="A968" s="57">
        <v>42921</v>
      </c>
      <c r="B968">
        <v>1.1329</v>
      </c>
    </row>
    <row r="969" spans="1:2" x14ac:dyDescent="0.2">
      <c r="A969" s="57">
        <v>42920</v>
      </c>
      <c r="B969">
        <v>1.1353</v>
      </c>
    </row>
    <row r="970" spans="1:2" x14ac:dyDescent="0.2">
      <c r="A970" s="57">
        <v>42919</v>
      </c>
      <c r="B970">
        <v>1.1369</v>
      </c>
    </row>
    <row r="971" spans="1:2" x14ac:dyDescent="0.2">
      <c r="A971" s="57">
        <v>42918</v>
      </c>
    </row>
    <row r="972" spans="1:2" x14ac:dyDescent="0.2">
      <c r="A972" s="57">
        <v>42917</v>
      </c>
    </row>
    <row r="973" spans="1:2" x14ac:dyDescent="0.2">
      <c r="A973" s="57">
        <v>42916</v>
      </c>
      <c r="B973">
        <v>1.1412</v>
      </c>
    </row>
    <row r="974" spans="1:2" x14ac:dyDescent="0.2">
      <c r="A974" s="57">
        <v>42915</v>
      </c>
      <c r="B974">
        <v>1.1413</v>
      </c>
    </row>
    <row r="975" spans="1:2" x14ac:dyDescent="0.2">
      <c r="A975" s="57">
        <v>42914</v>
      </c>
      <c r="B975">
        <v>1.1375</v>
      </c>
    </row>
    <row r="976" spans="1:2" x14ac:dyDescent="0.2">
      <c r="A976" s="57">
        <v>42913</v>
      </c>
      <c r="B976">
        <v>1.1277999999999999</v>
      </c>
    </row>
    <row r="977" spans="1:2" x14ac:dyDescent="0.2">
      <c r="A977" s="57">
        <v>42912</v>
      </c>
      <c r="B977">
        <v>1.1187</v>
      </c>
    </row>
    <row r="978" spans="1:2" x14ac:dyDescent="0.2">
      <c r="A978" s="57">
        <v>42911</v>
      </c>
    </row>
    <row r="979" spans="1:2" x14ac:dyDescent="0.2">
      <c r="A979" s="57">
        <v>42910</v>
      </c>
    </row>
    <row r="980" spans="1:2" x14ac:dyDescent="0.2">
      <c r="A980" s="57">
        <v>42909</v>
      </c>
      <c r="B980">
        <v>1.1173</v>
      </c>
    </row>
    <row r="981" spans="1:2" x14ac:dyDescent="0.2">
      <c r="A981" s="57">
        <v>42908</v>
      </c>
      <c r="B981">
        <v>1.1169</v>
      </c>
    </row>
    <row r="982" spans="1:2" x14ac:dyDescent="0.2">
      <c r="A982" s="57">
        <v>42907</v>
      </c>
      <c r="B982">
        <v>1.1147</v>
      </c>
    </row>
    <row r="983" spans="1:2" x14ac:dyDescent="0.2">
      <c r="A983" s="57">
        <v>42906</v>
      </c>
      <c r="B983">
        <v>1.1155999999999999</v>
      </c>
    </row>
    <row r="984" spans="1:2" x14ac:dyDescent="0.2">
      <c r="A984" s="57">
        <v>42905</v>
      </c>
      <c r="B984">
        <v>1.1198999999999999</v>
      </c>
    </row>
    <row r="985" spans="1:2" x14ac:dyDescent="0.2">
      <c r="A985" s="57">
        <v>42904</v>
      </c>
    </row>
    <row r="986" spans="1:2" x14ac:dyDescent="0.2">
      <c r="A986" s="57">
        <v>42903</v>
      </c>
    </row>
    <row r="987" spans="1:2" x14ac:dyDescent="0.2">
      <c r="A987" s="57">
        <v>42902</v>
      </c>
      <c r="B987">
        <v>1.1167</v>
      </c>
    </row>
    <row r="988" spans="1:2" x14ac:dyDescent="0.2">
      <c r="A988" s="57">
        <v>42901</v>
      </c>
      <c r="B988">
        <v>1.1166</v>
      </c>
    </row>
    <row r="989" spans="1:2" x14ac:dyDescent="0.2">
      <c r="A989" s="57">
        <v>42900</v>
      </c>
      <c r="B989">
        <v>1.1203000000000001</v>
      </c>
    </row>
    <row r="990" spans="1:2" x14ac:dyDescent="0.2">
      <c r="A990" s="57">
        <v>42899</v>
      </c>
      <c r="B990">
        <v>1.1216999999999999</v>
      </c>
    </row>
    <row r="991" spans="1:2" x14ac:dyDescent="0.2">
      <c r="A991" s="57">
        <v>42898</v>
      </c>
      <c r="B991">
        <v>1.1221000000000001</v>
      </c>
    </row>
    <row r="992" spans="1:2" x14ac:dyDescent="0.2">
      <c r="A992" s="57">
        <v>42897</v>
      </c>
    </row>
    <row r="993" spans="1:2" x14ac:dyDescent="0.2">
      <c r="A993" s="57">
        <v>42896</v>
      </c>
    </row>
    <row r="994" spans="1:2" x14ac:dyDescent="0.2">
      <c r="A994" s="57">
        <v>42895</v>
      </c>
      <c r="B994">
        <v>1.1175999999999999</v>
      </c>
    </row>
    <row r="995" spans="1:2" x14ac:dyDescent="0.2">
      <c r="A995" s="57">
        <v>42894</v>
      </c>
      <c r="B995">
        <v>1.1229</v>
      </c>
    </row>
    <row r="996" spans="1:2" x14ac:dyDescent="0.2">
      <c r="A996" s="57">
        <v>42893</v>
      </c>
      <c r="B996">
        <v>1.1216999999999999</v>
      </c>
    </row>
    <row r="997" spans="1:2" x14ac:dyDescent="0.2">
      <c r="A997" s="57">
        <v>42892</v>
      </c>
      <c r="B997">
        <v>1.1257999999999999</v>
      </c>
    </row>
    <row r="998" spans="1:2" x14ac:dyDescent="0.2">
      <c r="A998" s="57">
        <v>42891</v>
      </c>
      <c r="B998">
        <v>1.1249</v>
      </c>
    </row>
    <row r="999" spans="1:2" x14ac:dyDescent="0.2">
      <c r="A999" s="57">
        <v>42890</v>
      </c>
    </row>
    <row r="1000" spans="1:2" x14ac:dyDescent="0.2">
      <c r="A1000" s="57">
        <v>42889</v>
      </c>
    </row>
    <row r="1001" spans="1:2" x14ac:dyDescent="0.2">
      <c r="A1001" s="57">
        <v>42888</v>
      </c>
      <c r="B1001">
        <v>1.1216999999999999</v>
      </c>
    </row>
    <row r="1002" spans="1:2" x14ac:dyDescent="0.2">
      <c r="A1002" s="57">
        <v>42887</v>
      </c>
      <c r="B1002">
        <v>1.1218999999999999</v>
      </c>
    </row>
    <row r="1003" spans="1:2" x14ac:dyDescent="0.2">
      <c r="A1003" s="57">
        <v>42886</v>
      </c>
      <c r="B1003">
        <v>1.1221000000000001</v>
      </c>
    </row>
    <row r="1004" spans="1:2" x14ac:dyDescent="0.2">
      <c r="A1004" s="57">
        <v>42885</v>
      </c>
      <c r="B1004">
        <v>1.1173</v>
      </c>
    </row>
    <row r="1005" spans="1:2" x14ac:dyDescent="0.2">
      <c r="A1005" s="57">
        <v>42884</v>
      </c>
      <c r="B1005">
        <v>1.1188</v>
      </c>
    </row>
    <row r="1006" spans="1:2" x14ac:dyDescent="0.2">
      <c r="A1006" s="57">
        <v>42883</v>
      </c>
    </row>
    <row r="1007" spans="1:2" x14ac:dyDescent="0.2">
      <c r="A1007" s="57">
        <v>42882</v>
      </c>
    </row>
    <row r="1008" spans="1:2" x14ac:dyDescent="0.2">
      <c r="A1008" s="57">
        <v>42881</v>
      </c>
      <c r="B1008">
        <v>1.1195999999999999</v>
      </c>
    </row>
    <row r="1009" spans="1:2" x14ac:dyDescent="0.2">
      <c r="A1009" s="57">
        <v>42880</v>
      </c>
      <c r="B1009">
        <v>1.1214</v>
      </c>
    </row>
    <row r="1010" spans="1:2" x14ac:dyDescent="0.2">
      <c r="A1010" s="57">
        <v>42879</v>
      </c>
      <c r="B1010">
        <v>1.1193</v>
      </c>
    </row>
    <row r="1011" spans="1:2" x14ac:dyDescent="0.2">
      <c r="A1011" s="57">
        <v>42878</v>
      </c>
      <c r="B1011">
        <v>1.1214999999999999</v>
      </c>
    </row>
    <row r="1012" spans="1:2" x14ac:dyDescent="0.2">
      <c r="A1012" s="57">
        <v>42877</v>
      </c>
      <c r="B1012">
        <v>1.1243000000000001</v>
      </c>
    </row>
    <row r="1013" spans="1:2" x14ac:dyDescent="0.2">
      <c r="A1013" s="57">
        <v>42876</v>
      </c>
    </row>
    <row r="1014" spans="1:2" x14ac:dyDescent="0.2">
      <c r="A1014" s="57">
        <v>42875</v>
      </c>
    </row>
    <row r="1015" spans="1:2" x14ac:dyDescent="0.2">
      <c r="A1015" s="57">
        <v>42874</v>
      </c>
      <c r="B1015">
        <v>1.1178999999999999</v>
      </c>
    </row>
    <row r="1016" spans="1:2" x14ac:dyDescent="0.2">
      <c r="A1016" s="57">
        <v>42873</v>
      </c>
      <c r="B1016">
        <v>1.1129</v>
      </c>
    </row>
    <row r="1017" spans="1:2" x14ac:dyDescent="0.2">
      <c r="A1017" s="57">
        <v>42872</v>
      </c>
      <c r="B1017">
        <v>1.1116999999999999</v>
      </c>
    </row>
    <row r="1018" spans="1:2" x14ac:dyDescent="0.2">
      <c r="A1018" s="57">
        <v>42871</v>
      </c>
      <c r="B1018">
        <v>1.1059000000000001</v>
      </c>
    </row>
    <row r="1019" spans="1:2" x14ac:dyDescent="0.2">
      <c r="A1019" s="57">
        <v>42870</v>
      </c>
      <c r="B1019">
        <v>1.0972</v>
      </c>
    </row>
    <row r="1020" spans="1:2" x14ac:dyDescent="0.2">
      <c r="A1020" s="57">
        <v>42869</v>
      </c>
    </row>
    <row r="1021" spans="1:2" x14ac:dyDescent="0.2">
      <c r="A1021" s="57">
        <v>42868</v>
      </c>
    </row>
    <row r="1022" spans="1:2" x14ac:dyDescent="0.2">
      <c r="A1022" s="57">
        <v>42867</v>
      </c>
      <c r="B1022">
        <v>1.0875999999999999</v>
      </c>
    </row>
    <row r="1023" spans="1:2" x14ac:dyDescent="0.2">
      <c r="A1023" s="57">
        <v>42866</v>
      </c>
      <c r="B1023">
        <v>1.0860000000000001</v>
      </c>
    </row>
    <row r="1024" spans="1:2" x14ac:dyDescent="0.2">
      <c r="A1024" s="57">
        <v>42865</v>
      </c>
      <c r="B1024">
        <v>1.0882000000000001</v>
      </c>
    </row>
    <row r="1025" spans="1:2" x14ac:dyDescent="0.2">
      <c r="A1025" s="57">
        <v>42864</v>
      </c>
      <c r="B1025">
        <v>1.0888</v>
      </c>
    </row>
    <row r="1026" spans="1:2" x14ac:dyDescent="0.2">
      <c r="A1026" s="57">
        <v>42863</v>
      </c>
      <c r="B1026">
        <v>1.0938000000000001</v>
      </c>
    </row>
    <row r="1027" spans="1:2" x14ac:dyDescent="0.2">
      <c r="A1027" s="57">
        <v>42862</v>
      </c>
    </row>
    <row r="1028" spans="1:2" x14ac:dyDescent="0.2">
      <c r="A1028" s="57">
        <v>42861</v>
      </c>
    </row>
    <row r="1029" spans="1:2" x14ac:dyDescent="0.2">
      <c r="A1029" s="57">
        <v>42860</v>
      </c>
      <c r="B1029">
        <v>1.0961000000000001</v>
      </c>
    </row>
    <row r="1030" spans="1:2" x14ac:dyDescent="0.2">
      <c r="A1030" s="57">
        <v>42859</v>
      </c>
      <c r="B1030">
        <v>1.0927</v>
      </c>
    </row>
    <row r="1031" spans="1:2" x14ac:dyDescent="0.2">
      <c r="A1031" s="57">
        <v>42858</v>
      </c>
      <c r="B1031">
        <v>1.0919000000000001</v>
      </c>
    </row>
    <row r="1032" spans="1:2" x14ac:dyDescent="0.2">
      <c r="A1032" s="57">
        <v>42857</v>
      </c>
      <c r="B1032">
        <v>1.0914999999999999</v>
      </c>
    </row>
    <row r="1033" spans="1:2" x14ac:dyDescent="0.2">
      <c r="A1033" s="57">
        <v>42856</v>
      </c>
    </row>
    <row r="1034" spans="1:2" x14ac:dyDescent="0.2">
      <c r="A1034" s="57">
        <v>42855</v>
      </c>
    </row>
    <row r="1035" spans="1:2" x14ac:dyDescent="0.2">
      <c r="A1035" s="57">
        <v>42854</v>
      </c>
    </row>
    <row r="1036" spans="1:2" x14ac:dyDescent="0.2">
      <c r="A1036" s="57">
        <v>42853</v>
      </c>
      <c r="B1036">
        <v>1.093</v>
      </c>
    </row>
    <row r="1037" spans="1:2" x14ac:dyDescent="0.2">
      <c r="A1037" s="57">
        <v>42852</v>
      </c>
      <c r="B1037">
        <v>1.0881000000000001</v>
      </c>
    </row>
    <row r="1038" spans="1:2" x14ac:dyDescent="0.2">
      <c r="A1038" s="57">
        <v>42851</v>
      </c>
      <c r="B1038">
        <v>1.0892999999999999</v>
      </c>
    </row>
    <row r="1039" spans="1:2" x14ac:dyDescent="0.2">
      <c r="A1039" s="57">
        <v>42850</v>
      </c>
      <c r="B1039">
        <v>1.0891</v>
      </c>
    </row>
    <row r="1040" spans="1:2" x14ac:dyDescent="0.2">
      <c r="A1040" s="57">
        <v>42849</v>
      </c>
      <c r="B1040">
        <v>1.0848</v>
      </c>
    </row>
    <row r="1041" spans="1:2" x14ac:dyDescent="0.2">
      <c r="A1041" s="57">
        <v>42848</v>
      </c>
    </row>
    <row r="1042" spans="1:2" x14ac:dyDescent="0.2">
      <c r="A1042" s="57">
        <v>42847</v>
      </c>
    </row>
    <row r="1043" spans="1:2" x14ac:dyDescent="0.2">
      <c r="A1043" s="57">
        <v>42846</v>
      </c>
      <c r="B1043">
        <v>1.0698000000000001</v>
      </c>
    </row>
    <row r="1044" spans="1:2" x14ac:dyDescent="0.2">
      <c r="A1044" s="57">
        <v>42845</v>
      </c>
      <c r="B1044">
        <v>1.0745</v>
      </c>
    </row>
    <row r="1045" spans="1:2" x14ac:dyDescent="0.2">
      <c r="A1045" s="57">
        <v>42844</v>
      </c>
      <c r="B1045">
        <v>1.0725</v>
      </c>
    </row>
    <row r="1046" spans="1:2" x14ac:dyDescent="0.2">
      <c r="A1046" s="57">
        <v>42843</v>
      </c>
      <c r="B1046">
        <v>1.0682</v>
      </c>
    </row>
    <row r="1047" spans="1:2" x14ac:dyDescent="0.2">
      <c r="A1047" s="57">
        <v>42842</v>
      </c>
    </row>
    <row r="1048" spans="1:2" x14ac:dyDescent="0.2">
      <c r="A1048" s="57">
        <v>42841</v>
      </c>
    </row>
    <row r="1049" spans="1:2" x14ac:dyDescent="0.2">
      <c r="A1049" s="57">
        <v>42840</v>
      </c>
    </row>
    <row r="1050" spans="1:2" x14ac:dyDescent="0.2">
      <c r="A1050" s="57">
        <v>42839</v>
      </c>
    </row>
    <row r="1051" spans="1:2" x14ac:dyDescent="0.2">
      <c r="A1051" s="57">
        <v>42838</v>
      </c>
      <c r="B1051">
        <v>1.0629999999999999</v>
      </c>
    </row>
    <row r="1052" spans="1:2" x14ac:dyDescent="0.2">
      <c r="A1052" s="57">
        <v>42837</v>
      </c>
      <c r="B1052">
        <v>1.0605</v>
      </c>
    </row>
    <row r="1053" spans="1:2" x14ac:dyDescent="0.2">
      <c r="A1053" s="57">
        <v>42836</v>
      </c>
      <c r="B1053">
        <v>1.0616000000000001</v>
      </c>
    </row>
    <row r="1054" spans="1:2" x14ac:dyDescent="0.2">
      <c r="A1054" s="57">
        <v>42835</v>
      </c>
      <c r="B1054">
        <v>1.0578000000000001</v>
      </c>
    </row>
    <row r="1055" spans="1:2" x14ac:dyDescent="0.2">
      <c r="A1055" s="57">
        <v>42834</v>
      </c>
    </row>
    <row r="1056" spans="1:2" x14ac:dyDescent="0.2">
      <c r="A1056" s="57">
        <v>42833</v>
      </c>
    </row>
    <row r="1057" spans="1:2" x14ac:dyDescent="0.2">
      <c r="A1057" s="57">
        <v>42832</v>
      </c>
      <c r="B1057">
        <v>1.0629999999999999</v>
      </c>
    </row>
    <row r="1058" spans="1:2" x14ac:dyDescent="0.2">
      <c r="A1058" s="57">
        <v>42831</v>
      </c>
      <c r="B1058">
        <v>1.0666</v>
      </c>
    </row>
    <row r="1059" spans="1:2" x14ac:dyDescent="0.2">
      <c r="A1059" s="57">
        <v>42830</v>
      </c>
      <c r="B1059">
        <v>1.0678000000000001</v>
      </c>
    </row>
    <row r="1060" spans="1:2" x14ac:dyDescent="0.2">
      <c r="A1060" s="57">
        <v>42829</v>
      </c>
      <c r="B1060">
        <v>1.0650999999999999</v>
      </c>
    </row>
    <row r="1061" spans="1:2" x14ac:dyDescent="0.2">
      <c r="A1061" s="57">
        <v>42828</v>
      </c>
      <c r="B1061">
        <v>1.0661</v>
      </c>
    </row>
    <row r="1062" spans="1:2" x14ac:dyDescent="0.2">
      <c r="A1062" s="57">
        <v>42827</v>
      </c>
    </row>
    <row r="1063" spans="1:2" x14ac:dyDescent="0.2">
      <c r="A1063" s="57">
        <v>42826</v>
      </c>
    </row>
    <row r="1064" spans="1:2" x14ac:dyDescent="0.2">
      <c r="A1064" s="57">
        <v>42825</v>
      </c>
      <c r="B1064">
        <v>1.0690999999999999</v>
      </c>
    </row>
    <row r="1065" spans="1:2" x14ac:dyDescent="0.2">
      <c r="A1065" s="57">
        <v>42824</v>
      </c>
      <c r="B1065">
        <v>1.0737000000000001</v>
      </c>
    </row>
    <row r="1066" spans="1:2" x14ac:dyDescent="0.2">
      <c r="A1066" s="57">
        <v>42823</v>
      </c>
      <c r="B1066">
        <v>1.0748</v>
      </c>
    </row>
    <row r="1067" spans="1:2" x14ac:dyDescent="0.2">
      <c r="A1067" s="57">
        <v>42822</v>
      </c>
      <c r="B1067">
        <v>1.0859000000000001</v>
      </c>
    </row>
    <row r="1068" spans="1:2" x14ac:dyDescent="0.2">
      <c r="A1068" s="57">
        <v>42821</v>
      </c>
      <c r="B1068">
        <v>1.0889</v>
      </c>
    </row>
    <row r="1069" spans="1:2" x14ac:dyDescent="0.2">
      <c r="A1069" s="57">
        <v>42820</v>
      </c>
    </row>
    <row r="1070" spans="1:2" x14ac:dyDescent="0.2">
      <c r="A1070" s="57">
        <v>42819</v>
      </c>
    </row>
    <row r="1071" spans="1:2" x14ac:dyDescent="0.2">
      <c r="A1071" s="57">
        <v>42818</v>
      </c>
      <c r="B1071">
        <v>1.0805</v>
      </c>
    </row>
    <row r="1072" spans="1:2" x14ac:dyDescent="0.2">
      <c r="A1072" s="57">
        <v>42817</v>
      </c>
      <c r="B1072">
        <v>1.0786</v>
      </c>
    </row>
    <row r="1073" spans="1:2" x14ac:dyDescent="0.2">
      <c r="A1073" s="57">
        <v>42816</v>
      </c>
      <c r="B1073">
        <v>1.0807</v>
      </c>
    </row>
    <row r="1074" spans="1:2" x14ac:dyDescent="0.2">
      <c r="A1074" s="57">
        <v>42815</v>
      </c>
      <c r="B1074">
        <v>1.0802</v>
      </c>
    </row>
    <row r="1075" spans="1:2" x14ac:dyDescent="0.2">
      <c r="A1075" s="57">
        <v>42814</v>
      </c>
      <c r="B1075">
        <v>1.0751999999999999</v>
      </c>
    </row>
    <row r="1076" spans="1:2" x14ac:dyDescent="0.2">
      <c r="A1076" s="57">
        <v>42813</v>
      </c>
    </row>
    <row r="1077" spans="1:2" x14ac:dyDescent="0.2">
      <c r="A1077" s="57">
        <v>42812</v>
      </c>
    </row>
    <row r="1078" spans="1:2" x14ac:dyDescent="0.2">
      <c r="A1078" s="57">
        <v>42811</v>
      </c>
      <c r="B1078">
        <v>1.0737000000000001</v>
      </c>
    </row>
    <row r="1079" spans="1:2" x14ac:dyDescent="0.2">
      <c r="A1079" s="57">
        <v>42810</v>
      </c>
      <c r="B1079">
        <v>1.0726</v>
      </c>
    </row>
    <row r="1080" spans="1:2" x14ac:dyDescent="0.2">
      <c r="A1080" s="57">
        <v>42809</v>
      </c>
      <c r="B1080">
        <v>1.0622</v>
      </c>
    </row>
    <row r="1081" spans="1:2" x14ac:dyDescent="0.2">
      <c r="A1081" s="57">
        <v>42808</v>
      </c>
      <c r="B1081">
        <v>1.0630999999999999</v>
      </c>
    </row>
    <row r="1082" spans="1:2" x14ac:dyDescent="0.2">
      <c r="A1082" s="57">
        <v>42807</v>
      </c>
      <c r="B1082">
        <v>1.0663</v>
      </c>
    </row>
    <row r="1083" spans="1:2" x14ac:dyDescent="0.2">
      <c r="A1083" s="57">
        <v>42806</v>
      </c>
    </row>
    <row r="1084" spans="1:2" x14ac:dyDescent="0.2">
      <c r="A1084" s="57">
        <v>42805</v>
      </c>
    </row>
    <row r="1085" spans="1:2" x14ac:dyDescent="0.2">
      <c r="A1085" s="57">
        <v>42804</v>
      </c>
      <c r="B1085">
        <v>1.0606</v>
      </c>
    </row>
    <row r="1086" spans="1:2" x14ac:dyDescent="0.2">
      <c r="A1086" s="57">
        <v>42803</v>
      </c>
      <c r="B1086">
        <v>1.0550999999999999</v>
      </c>
    </row>
    <row r="1087" spans="1:2" x14ac:dyDescent="0.2">
      <c r="A1087" s="57">
        <v>42802</v>
      </c>
      <c r="B1087">
        <v>1.0556000000000001</v>
      </c>
    </row>
    <row r="1088" spans="1:2" x14ac:dyDescent="0.2">
      <c r="A1088" s="57">
        <v>42801</v>
      </c>
      <c r="B1088">
        <v>1.0576000000000001</v>
      </c>
    </row>
    <row r="1089" spans="1:2" x14ac:dyDescent="0.2">
      <c r="A1089" s="57">
        <v>42800</v>
      </c>
      <c r="B1089">
        <v>1.0591999999999999</v>
      </c>
    </row>
    <row r="1090" spans="1:2" x14ac:dyDescent="0.2">
      <c r="A1090" s="57">
        <v>42799</v>
      </c>
    </row>
    <row r="1091" spans="1:2" x14ac:dyDescent="0.2">
      <c r="A1091" s="57">
        <v>42798</v>
      </c>
    </row>
    <row r="1092" spans="1:2" x14ac:dyDescent="0.2">
      <c r="A1092" s="57">
        <v>42797</v>
      </c>
      <c r="B1092">
        <v>1.0565</v>
      </c>
    </row>
    <row r="1093" spans="1:2" x14ac:dyDescent="0.2">
      <c r="A1093" s="57">
        <v>42796</v>
      </c>
      <c r="B1093">
        <v>1.0513999999999999</v>
      </c>
    </row>
    <row r="1094" spans="1:2" x14ac:dyDescent="0.2">
      <c r="A1094" s="57">
        <v>42795</v>
      </c>
      <c r="B1094">
        <v>1.0532999999999999</v>
      </c>
    </row>
    <row r="1095" spans="1:2" x14ac:dyDescent="0.2">
      <c r="A1095" s="57">
        <v>42794</v>
      </c>
      <c r="B1095">
        <v>1.0597000000000001</v>
      </c>
    </row>
    <row r="1096" spans="1:2" x14ac:dyDescent="0.2">
      <c r="A1096" s="57">
        <v>42793</v>
      </c>
      <c r="B1096">
        <v>1.0587</v>
      </c>
    </row>
    <row r="1097" spans="1:2" x14ac:dyDescent="0.2">
      <c r="A1097" s="57">
        <v>42792</v>
      </c>
    </row>
    <row r="1098" spans="1:2" x14ac:dyDescent="0.2">
      <c r="A1098" s="57">
        <v>42791</v>
      </c>
    </row>
    <row r="1099" spans="1:2" x14ac:dyDescent="0.2">
      <c r="A1099" s="57">
        <v>42790</v>
      </c>
      <c r="B1099">
        <v>1.0609</v>
      </c>
    </row>
    <row r="1100" spans="1:2" x14ac:dyDescent="0.2">
      <c r="A1100" s="57">
        <v>42789</v>
      </c>
      <c r="B1100">
        <v>1.0572999999999999</v>
      </c>
    </row>
    <row r="1101" spans="1:2" x14ac:dyDescent="0.2">
      <c r="A1101" s="57">
        <v>42788</v>
      </c>
      <c r="B1101">
        <v>1.0512999999999999</v>
      </c>
    </row>
    <row r="1102" spans="1:2" x14ac:dyDescent="0.2">
      <c r="A1102" s="57">
        <v>42787</v>
      </c>
      <c r="B1102">
        <v>1.0537000000000001</v>
      </c>
    </row>
    <row r="1103" spans="1:2" x14ac:dyDescent="0.2">
      <c r="A1103" s="57">
        <v>42786</v>
      </c>
      <c r="B1103">
        <v>1.0616000000000001</v>
      </c>
    </row>
    <row r="1104" spans="1:2" x14ac:dyDescent="0.2">
      <c r="A1104" s="57">
        <v>42785</v>
      </c>
    </row>
    <row r="1105" spans="1:2" x14ac:dyDescent="0.2">
      <c r="A1105" s="57">
        <v>42784</v>
      </c>
    </row>
    <row r="1106" spans="1:2" x14ac:dyDescent="0.2">
      <c r="A1106" s="57">
        <v>42783</v>
      </c>
      <c r="B1106">
        <v>1.0649999999999999</v>
      </c>
    </row>
    <row r="1107" spans="1:2" x14ac:dyDescent="0.2">
      <c r="A1107" s="57">
        <v>42782</v>
      </c>
      <c r="B1107">
        <v>1.0651999999999999</v>
      </c>
    </row>
    <row r="1108" spans="1:2" x14ac:dyDescent="0.2">
      <c r="A1108" s="57">
        <v>42781</v>
      </c>
      <c r="B1108">
        <v>1.0555000000000001</v>
      </c>
    </row>
    <row r="1109" spans="1:2" x14ac:dyDescent="0.2">
      <c r="A1109" s="57">
        <v>42780</v>
      </c>
      <c r="B1109">
        <v>1.0623</v>
      </c>
    </row>
    <row r="1110" spans="1:2" x14ac:dyDescent="0.2">
      <c r="A1110" s="57">
        <v>42779</v>
      </c>
      <c r="B1110">
        <v>1.0629</v>
      </c>
    </row>
    <row r="1111" spans="1:2" x14ac:dyDescent="0.2">
      <c r="A1111" s="57">
        <v>42778</v>
      </c>
    </row>
    <row r="1112" spans="1:2" x14ac:dyDescent="0.2">
      <c r="A1112" s="57">
        <v>42777</v>
      </c>
    </row>
    <row r="1113" spans="1:2" x14ac:dyDescent="0.2">
      <c r="A1113" s="57">
        <v>42776</v>
      </c>
      <c r="B1113">
        <v>1.0629</v>
      </c>
    </row>
    <row r="1114" spans="1:2" x14ac:dyDescent="0.2">
      <c r="A1114" s="57">
        <v>42775</v>
      </c>
      <c r="B1114">
        <v>1.0691999999999999</v>
      </c>
    </row>
    <row r="1115" spans="1:2" x14ac:dyDescent="0.2">
      <c r="A1115" s="57">
        <v>42774</v>
      </c>
      <c r="B1115">
        <v>1.0665</v>
      </c>
    </row>
    <row r="1116" spans="1:2" x14ac:dyDescent="0.2">
      <c r="A1116" s="57">
        <v>42773</v>
      </c>
      <c r="B1116">
        <v>1.0674999999999999</v>
      </c>
    </row>
    <row r="1117" spans="1:2" x14ac:dyDescent="0.2">
      <c r="A1117" s="57">
        <v>42772</v>
      </c>
      <c r="B1117">
        <v>1.0711999999999999</v>
      </c>
    </row>
    <row r="1118" spans="1:2" x14ac:dyDescent="0.2">
      <c r="A1118" s="57">
        <v>42771</v>
      </c>
    </row>
    <row r="1119" spans="1:2" x14ac:dyDescent="0.2">
      <c r="A1119" s="57">
        <v>42770</v>
      </c>
    </row>
    <row r="1120" spans="1:2" x14ac:dyDescent="0.2">
      <c r="A1120" s="57">
        <v>42769</v>
      </c>
      <c r="B1120">
        <v>1.0741000000000001</v>
      </c>
    </row>
    <row r="1121" spans="1:2" x14ac:dyDescent="0.2">
      <c r="A1121" s="57">
        <v>42768</v>
      </c>
      <c r="B1121">
        <v>1.0808</v>
      </c>
    </row>
    <row r="1122" spans="1:2" x14ac:dyDescent="0.2">
      <c r="A1122" s="57">
        <v>42767</v>
      </c>
      <c r="B1122">
        <v>1.079</v>
      </c>
    </row>
    <row r="1123" spans="1:2" x14ac:dyDescent="0.2">
      <c r="A1123" s="57">
        <v>42766</v>
      </c>
      <c r="B1123">
        <v>1.0754999999999999</v>
      </c>
    </row>
    <row r="1124" spans="1:2" x14ac:dyDescent="0.2">
      <c r="A1124" s="57">
        <v>42765</v>
      </c>
      <c r="B1124">
        <v>1.0629999999999999</v>
      </c>
    </row>
    <row r="1125" spans="1:2" x14ac:dyDescent="0.2">
      <c r="A1125" s="57">
        <v>42764</v>
      </c>
    </row>
    <row r="1126" spans="1:2" x14ac:dyDescent="0.2">
      <c r="A1126" s="57">
        <v>42763</v>
      </c>
    </row>
    <row r="1127" spans="1:2" x14ac:dyDescent="0.2">
      <c r="A1127" s="57">
        <v>42762</v>
      </c>
      <c r="B1127">
        <v>1.0681</v>
      </c>
    </row>
    <row r="1128" spans="1:2" x14ac:dyDescent="0.2">
      <c r="A1128" s="57">
        <v>42761</v>
      </c>
      <c r="B1128">
        <v>1.07</v>
      </c>
    </row>
    <row r="1129" spans="1:2" x14ac:dyDescent="0.2">
      <c r="A1129" s="57">
        <v>42760</v>
      </c>
      <c r="B1129">
        <v>1.0743</v>
      </c>
    </row>
    <row r="1130" spans="1:2" x14ac:dyDescent="0.2">
      <c r="A1130" s="57">
        <v>42759</v>
      </c>
      <c r="B1130">
        <v>1.0748</v>
      </c>
    </row>
    <row r="1131" spans="1:2" x14ac:dyDescent="0.2">
      <c r="A1131" s="57">
        <v>42758</v>
      </c>
      <c r="B1131">
        <v>1.0714999999999999</v>
      </c>
    </row>
    <row r="1132" spans="1:2" x14ac:dyDescent="0.2">
      <c r="A1132" s="57">
        <v>42757</v>
      </c>
    </row>
    <row r="1133" spans="1:2" x14ac:dyDescent="0.2">
      <c r="A1133" s="57">
        <v>42756</v>
      </c>
    </row>
    <row r="1134" spans="1:2" x14ac:dyDescent="0.2">
      <c r="A1134" s="57">
        <v>42755</v>
      </c>
      <c r="B1134">
        <v>1.0631999999999999</v>
      </c>
    </row>
    <row r="1135" spans="1:2" x14ac:dyDescent="0.2">
      <c r="A1135" s="57">
        <v>42754</v>
      </c>
      <c r="B1135">
        <v>1.0668</v>
      </c>
    </row>
    <row r="1136" spans="1:2" x14ac:dyDescent="0.2">
      <c r="A1136" s="57">
        <v>42753</v>
      </c>
      <c r="B1136">
        <v>1.0664</v>
      </c>
    </row>
    <row r="1137" spans="1:2" x14ac:dyDescent="0.2">
      <c r="A1137" s="57">
        <v>42752</v>
      </c>
      <c r="B1137">
        <v>1.0684</v>
      </c>
    </row>
    <row r="1138" spans="1:2" x14ac:dyDescent="0.2">
      <c r="A1138" s="57">
        <v>42751</v>
      </c>
      <c r="B1138">
        <v>1.0593999999999999</v>
      </c>
    </row>
    <row r="1139" spans="1:2" x14ac:dyDescent="0.2">
      <c r="A1139" s="57">
        <v>42750</v>
      </c>
    </row>
    <row r="1140" spans="1:2" x14ac:dyDescent="0.2">
      <c r="A1140" s="57">
        <v>42749</v>
      </c>
    </row>
    <row r="1141" spans="1:2" x14ac:dyDescent="0.2">
      <c r="A1141" s="57">
        <v>42748</v>
      </c>
      <c r="B1141">
        <v>1.0661</v>
      </c>
    </row>
    <row r="1142" spans="1:2" x14ac:dyDescent="0.2">
      <c r="A1142" s="57">
        <v>42747</v>
      </c>
      <c r="B1142">
        <v>1.0679000000000001</v>
      </c>
    </row>
    <row r="1143" spans="1:2" x14ac:dyDescent="0.2">
      <c r="A1143" s="57">
        <v>42746</v>
      </c>
      <c r="B1143">
        <v>1.0503</v>
      </c>
    </row>
    <row r="1144" spans="1:2" x14ac:dyDescent="0.2">
      <c r="A1144" s="57">
        <v>42745</v>
      </c>
      <c r="B1144">
        <v>1.0567</v>
      </c>
    </row>
    <row r="1145" spans="1:2" x14ac:dyDescent="0.2">
      <c r="A1145" s="57">
        <v>42744</v>
      </c>
      <c r="B1145">
        <v>1.0516000000000001</v>
      </c>
    </row>
    <row r="1146" spans="1:2" x14ac:dyDescent="0.2">
      <c r="A1146" s="57">
        <v>42743</v>
      </c>
    </row>
    <row r="1147" spans="1:2" x14ac:dyDescent="0.2">
      <c r="A1147" s="57">
        <v>42742</v>
      </c>
    </row>
    <row r="1148" spans="1:2" x14ac:dyDescent="0.2">
      <c r="A1148" s="57">
        <v>42741</v>
      </c>
      <c r="B1148">
        <v>1.0589</v>
      </c>
    </row>
    <row r="1149" spans="1:2" x14ac:dyDescent="0.2">
      <c r="A1149" s="57">
        <v>42740</v>
      </c>
      <c r="B1149">
        <v>1.0501</v>
      </c>
    </row>
    <row r="1150" spans="1:2" x14ac:dyDescent="0.2">
      <c r="A1150" s="57">
        <v>42739</v>
      </c>
      <c r="B1150">
        <v>1.0437000000000001</v>
      </c>
    </row>
    <row r="1151" spans="1:2" x14ac:dyDescent="0.2">
      <c r="A1151" s="57">
        <v>42738</v>
      </c>
      <c r="B1151">
        <v>1.0385</v>
      </c>
    </row>
    <row r="1152" spans="1:2" x14ac:dyDescent="0.2">
      <c r="A1152" s="57">
        <v>42737</v>
      </c>
      <c r="B1152">
        <v>1.0465</v>
      </c>
    </row>
    <row r="1153" spans="1:2" x14ac:dyDescent="0.2">
      <c r="A1153" s="57">
        <v>42736</v>
      </c>
    </row>
    <row r="1154" spans="1:2" x14ac:dyDescent="0.2">
      <c r="A1154" s="57">
        <v>42735</v>
      </c>
    </row>
    <row r="1155" spans="1:2" x14ac:dyDescent="0.2">
      <c r="A1155" s="57">
        <v>42734</v>
      </c>
      <c r="B1155">
        <v>1.0541</v>
      </c>
    </row>
    <row r="1156" spans="1:2" x14ac:dyDescent="0.2">
      <c r="A1156" s="57">
        <v>42733</v>
      </c>
      <c r="B1156">
        <v>1.0452999999999999</v>
      </c>
    </row>
    <row r="1157" spans="1:2" x14ac:dyDescent="0.2">
      <c r="A1157" s="57">
        <v>42732</v>
      </c>
      <c r="B1157">
        <v>1.0401</v>
      </c>
    </row>
    <row r="1158" spans="1:2" x14ac:dyDescent="0.2">
      <c r="A1158" s="57">
        <v>42731</v>
      </c>
      <c r="B1158">
        <v>1.0445</v>
      </c>
    </row>
    <row r="1159" spans="1:2" x14ac:dyDescent="0.2">
      <c r="A1159" s="57">
        <v>42730</v>
      </c>
    </row>
    <row r="1160" spans="1:2" x14ac:dyDescent="0.2">
      <c r="A1160" s="57">
        <v>42729</v>
      </c>
    </row>
    <row r="1161" spans="1:2" x14ac:dyDescent="0.2">
      <c r="A1161" s="57">
        <v>42728</v>
      </c>
    </row>
    <row r="1162" spans="1:2" x14ac:dyDescent="0.2">
      <c r="A1162" s="57">
        <v>42727</v>
      </c>
      <c r="B1162">
        <v>1.0446</v>
      </c>
    </row>
    <row r="1163" spans="1:2" x14ac:dyDescent="0.2">
      <c r="A1163" s="57">
        <v>42726</v>
      </c>
      <c r="B1163">
        <v>1.0444</v>
      </c>
    </row>
    <row r="1164" spans="1:2" x14ac:dyDescent="0.2">
      <c r="A1164" s="57">
        <v>42725</v>
      </c>
      <c r="B1164">
        <v>1.0421</v>
      </c>
    </row>
    <row r="1165" spans="1:2" x14ac:dyDescent="0.2">
      <c r="A1165" s="57">
        <v>42724</v>
      </c>
      <c r="B1165">
        <v>1.0364</v>
      </c>
    </row>
    <row r="1166" spans="1:2" x14ac:dyDescent="0.2">
      <c r="A1166" s="57">
        <v>42723</v>
      </c>
      <c r="B1166">
        <v>1.0422</v>
      </c>
    </row>
    <row r="1167" spans="1:2" x14ac:dyDescent="0.2">
      <c r="A1167" s="57">
        <v>42722</v>
      </c>
    </row>
    <row r="1168" spans="1:2" x14ac:dyDescent="0.2">
      <c r="A1168" s="57">
        <v>42721</v>
      </c>
    </row>
    <row r="1169" spans="1:2" x14ac:dyDescent="0.2">
      <c r="A1169" s="57">
        <v>42720</v>
      </c>
      <c r="B1169">
        <v>1.0439000000000001</v>
      </c>
    </row>
    <row r="1170" spans="1:2" x14ac:dyDescent="0.2">
      <c r="A1170" s="57">
        <v>42719</v>
      </c>
      <c r="B1170">
        <v>1.0419</v>
      </c>
    </row>
    <row r="1171" spans="1:2" x14ac:dyDescent="0.2">
      <c r="A1171" s="57">
        <v>42718</v>
      </c>
      <c r="B1171">
        <v>1.0644</v>
      </c>
    </row>
    <row r="1172" spans="1:2" x14ac:dyDescent="0.2">
      <c r="A1172" s="57">
        <v>42717</v>
      </c>
      <c r="B1172">
        <v>1.0609999999999999</v>
      </c>
    </row>
    <row r="1173" spans="1:2" x14ac:dyDescent="0.2">
      <c r="A1173" s="57">
        <v>42716</v>
      </c>
      <c r="B1173">
        <v>1.0596000000000001</v>
      </c>
    </row>
    <row r="1174" spans="1:2" x14ac:dyDescent="0.2">
      <c r="A1174" s="57">
        <v>42715</v>
      </c>
    </row>
    <row r="1175" spans="1:2" x14ac:dyDescent="0.2">
      <c r="A1175" s="57">
        <v>42714</v>
      </c>
    </row>
    <row r="1176" spans="1:2" x14ac:dyDescent="0.2">
      <c r="A1176" s="57">
        <v>42713</v>
      </c>
      <c r="B1176">
        <v>1.0559000000000001</v>
      </c>
    </row>
    <row r="1177" spans="1:2" x14ac:dyDescent="0.2">
      <c r="A1177" s="57">
        <v>42712</v>
      </c>
      <c r="B1177">
        <v>1.0762</v>
      </c>
    </row>
    <row r="1178" spans="1:2" x14ac:dyDescent="0.2">
      <c r="A1178" s="57">
        <v>42711</v>
      </c>
      <c r="B1178">
        <v>1.073</v>
      </c>
    </row>
    <row r="1179" spans="1:2" x14ac:dyDescent="0.2">
      <c r="A1179" s="57">
        <v>42710</v>
      </c>
      <c r="B1179">
        <v>1.0733999999999999</v>
      </c>
    </row>
    <row r="1180" spans="1:2" x14ac:dyDescent="0.2">
      <c r="A1180" s="57">
        <v>42709</v>
      </c>
      <c r="B1180">
        <v>1.0702</v>
      </c>
    </row>
    <row r="1181" spans="1:2" x14ac:dyDescent="0.2">
      <c r="A1181" s="57">
        <v>42708</v>
      </c>
    </row>
    <row r="1182" spans="1:2" x14ac:dyDescent="0.2">
      <c r="A1182" s="57">
        <v>42707</v>
      </c>
    </row>
    <row r="1183" spans="1:2" x14ac:dyDescent="0.2">
      <c r="A1183" s="57">
        <v>42706</v>
      </c>
      <c r="B1183">
        <v>1.0642</v>
      </c>
    </row>
    <row r="1184" spans="1:2" x14ac:dyDescent="0.2">
      <c r="A1184" s="57">
        <v>42705</v>
      </c>
      <c r="B1184">
        <v>1.0627</v>
      </c>
    </row>
    <row r="1185" spans="1:2" x14ac:dyDescent="0.2">
      <c r="A1185" s="57">
        <v>42704</v>
      </c>
      <c r="B1185">
        <v>1.0634999999999999</v>
      </c>
    </row>
    <row r="1186" spans="1:2" x14ac:dyDescent="0.2">
      <c r="A1186" s="57">
        <v>42703</v>
      </c>
      <c r="B1186">
        <v>1.0576000000000001</v>
      </c>
    </row>
    <row r="1187" spans="1:2" x14ac:dyDescent="0.2">
      <c r="A1187" s="57">
        <v>42702</v>
      </c>
      <c r="B1187">
        <v>1.0588</v>
      </c>
    </row>
    <row r="1188" spans="1:2" x14ac:dyDescent="0.2">
      <c r="A1188" s="57">
        <v>42701</v>
      </c>
    </row>
    <row r="1189" spans="1:2" x14ac:dyDescent="0.2">
      <c r="A1189" s="57">
        <v>42700</v>
      </c>
    </row>
    <row r="1190" spans="1:2" x14ac:dyDescent="0.2">
      <c r="A1190" s="57">
        <v>42699</v>
      </c>
      <c r="B1190">
        <v>1.0591999999999999</v>
      </c>
    </row>
    <row r="1191" spans="1:2" x14ac:dyDescent="0.2">
      <c r="A1191" s="57">
        <v>42698</v>
      </c>
      <c r="B1191">
        <v>1.0548</v>
      </c>
    </row>
    <row r="1192" spans="1:2" x14ac:dyDescent="0.2">
      <c r="A1192" s="57">
        <v>42697</v>
      </c>
      <c r="B1192">
        <v>1.0602</v>
      </c>
    </row>
    <row r="1193" spans="1:2" x14ac:dyDescent="0.2">
      <c r="A1193" s="57">
        <v>42696</v>
      </c>
      <c r="B1193">
        <v>1.0617000000000001</v>
      </c>
    </row>
    <row r="1194" spans="1:2" x14ac:dyDescent="0.2">
      <c r="A1194" s="57">
        <v>42695</v>
      </c>
      <c r="B1194">
        <v>1.0630999999999999</v>
      </c>
    </row>
    <row r="1195" spans="1:2" x14ac:dyDescent="0.2">
      <c r="A1195" s="57">
        <v>42694</v>
      </c>
    </row>
    <row r="1196" spans="1:2" x14ac:dyDescent="0.2">
      <c r="A1196" s="57">
        <v>42693</v>
      </c>
    </row>
    <row r="1197" spans="1:2" x14ac:dyDescent="0.2">
      <c r="A1197" s="57">
        <v>42692</v>
      </c>
      <c r="B1197">
        <v>1.0629</v>
      </c>
    </row>
    <row r="1198" spans="1:2" x14ac:dyDescent="0.2">
      <c r="A1198" s="57">
        <v>42691</v>
      </c>
      <c r="B1198">
        <v>1.0717000000000001</v>
      </c>
    </row>
    <row r="1199" spans="1:2" x14ac:dyDescent="0.2">
      <c r="A1199" s="57">
        <v>42690</v>
      </c>
      <c r="B1199">
        <v>1.0702</v>
      </c>
    </row>
    <row r="1200" spans="1:2" x14ac:dyDescent="0.2">
      <c r="A1200" s="57">
        <v>42689</v>
      </c>
      <c r="B1200">
        <v>1.0765</v>
      </c>
    </row>
    <row r="1201" spans="1:2" x14ac:dyDescent="0.2">
      <c r="A1201" s="57">
        <v>42688</v>
      </c>
      <c r="B1201">
        <v>1.0777000000000001</v>
      </c>
    </row>
    <row r="1202" spans="1:2" x14ac:dyDescent="0.2">
      <c r="A1202" s="57">
        <v>42687</v>
      </c>
    </row>
    <row r="1203" spans="1:2" x14ac:dyDescent="0.2">
      <c r="A1203" s="57">
        <v>42686</v>
      </c>
    </row>
    <row r="1204" spans="1:2" x14ac:dyDescent="0.2">
      <c r="A1204" s="57">
        <v>42685</v>
      </c>
      <c r="B1204">
        <v>1.0904</v>
      </c>
    </row>
    <row r="1205" spans="1:2" x14ac:dyDescent="0.2">
      <c r="A1205" s="57">
        <v>42684</v>
      </c>
      <c r="B1205">
        <v>1.0894999999999999</v>
      </c>
    </row>
    <row r="1206" spans="1:2" x14ac:dyDescent="0.2">
      <c r="A1206" s="57">
        <v>42683</v>
      </c>
      <c r="B1206">
        <v>1.1022000000000001</v>
      </c>
    </row>
    <row r="1207" spans="1:2" x14ac:dyDescent="0.2">
      <c r="A1207" s="57">
        <v>42682</v>
      </c>
      <c r="B1207">
        <v>1.1037999999999999</v>
      </c>
    </row>
    <row r="1208" spans="1:2" x14ac:dyDescent="0.2">
      <c r="A1208" s="57">
        <v>42681</v>
      </c>
      <c r="B1208">
        <v>1.1062000000000001</v>
      </c>
    </row>
    <row r="1209" spans="1:2" x14ac:dyDescent="0.2">
      <c r="A1209" s="57">
        <v>42680</v>
      </c>
    </row>
    <row r="1210" spans="1:2" x14ac:dyDescent="0.2">
      <c r="A1210" s="57">
        <v>42679</v>
      </c>
    </row>
    <row r="1211" spans="1:2" x14ac:dyDescent="0.2">
      <c r="A1211" s="57">
        <v>42678</v>
      </c>
      <c r="B1211">
        <v>1.1093</v>
      </c>
    </row>
    <row r="1212" spans="1:2" x14ac:dyDescent="0.2">
      <c r="A1212" s="57">
        <v>42677</v>
      </c>
      <c r="B1212">
        <v>1.1064000000000001</v>
      </c>
    </row>
    <row r="1213" spans="1:2" x14ac:dyDescent="0.2">
      <c r="A1213" s="57">
        <v>42676</v>
      </c>
      <c r="B1213">
        <v>1.1094999999999999</v>
      </c>
    </row>
    <row r="1214" spans="1:2" x14ac:dyDescent="0.2">
      <c r="A1214" s="57">
        <v>42675</v>
      </c>
      <c r="B1214">
        <v>1.1025</v>
      </c>
    </row>
    <row r="1215" spans="1:2" x14ac:dyDescent="0.2">
      <c r="A1215" s="57">
        <v>42674</v>
      </c>
      <c r="B1215">
        <v>1.0946</v>
      </c>
    </row>
    <row r="1216" spans="1:2" x14ac:dyDescent="0.2">
      <c r="A1216" s="57">
        <v>42673</v>
      </c>
    </row>
    <row r="1217" spans="1:2" x14ac:dyDescent="0.2">
      <c r="A1217" s="57">
        <v>42672</v>
      </c>
    </row>
    <row r="1218" spans="1:2" x14ac:dyDescent="0.2">
      <c r="A1218" s="57">
        <v>42671</v>
      </c>
      <c r="B1218">
        <v>1.0922000000000001</v>
      </c>
    </row>
    <row r="1219" spans="1:2" x14ac:dyDescent="0.2">
      <c r="A1219" s="57">
        <v>42670</v>
      </c>
      <c r="B1219">
        <v>1.0927</v>
      </c>
    </row>
    <row r="1220" spans="1:2" x14ac:dyDescent="0.2">
      <c r="A1220" s="57">
        <v>42669</v>
      </c>
      <c r="B1220">
        <v>1.0925</v>
      </c>
    </row>
    <row r="1221" spans="1:2" x14ac:dyDescent="0.2">
      <c r="A1221" s="57">
        <v>42668</v>
      </c>
      <c r="B1221">
        <v>1.0871999999999999</v>
      </c>
    </row>
    <row r="1222" spans="1:2" x14ac:dyDescent="0.2">
      <c r="A1222" s="57">
        <v>42667</v>
      </c>
      <c r="B1222">
        <v>1.0891</v>
      </c>
    </row>
    <row r="1223" spans="1:2" x14ac:dyDescent="0.2">
      <c r="A1223" s="57">
        <v>42666</v>
      </c>
    </row>
    <row r="1224" spans="1:2" x14ac:dyDescent="0.2">
      <c r="A1224" s="57">
        <v>42665</v>
      </c>
    </row>
    <row r="1225" spans="1:2" x14ac:dyDescent="0.2">
      <c r="A1225" s="57">
        <v>42664</v>
      </c>
      <c r="B1225">
        <v>1.0886</v>
      </c>
    </row>
    <row r="1226" spans="1:2" x14ac:dyDescent="0.2">
      <c r="A1226" s="57">
        <v>42663</v>
      </c>
      <c r="B1226">
        <v>1.0980000000000001</v>
      </c>
    </row>
    <row r="1227" spans="1:2" x14ac:dyDescent="0.2">
      <c r="A1227" s="57">
        <v>42662</v>
      </c>
      <c r="B1227">
        <v>1.0979000000000001</v>
      </c>
    </row>
    <row r="1228" spans="1:2" x14ac:dyDescent="0.2">
      <c r="A1228" s="57">
        <v>42661</v>
      </c>
      <c r="B1228">
        <v>1.0992999999999999</v>
      </c>
    </row>
    <row r="1229" spans="1:2" x14ac:dyDescent="0.2">
      <c r="A1229" s="57">
        <v>42660</v>
      </c>
      <c r="B1229">
        <v>1.0993999999999999</v>
      </c>
    </row>
    <row r="1230" spans="1:2" x14ac:dyDescent="0.2">
      <c r="A1230" s="57">
        <v>42659</v>
      </c>
    </row>
    <row r="1231" spans="1:2" x14ac:dyDescent="0.2">
      <c r="A1231" s="57">
        <v>42658</v>
      </c>
    </row>
    <row r="1232" spans="1:2" x14ac:dyDescent="0.2">
      <c r="A1232" s="57">
        <v>42657</v>
      </c>
      <c r="B1232">
        <v>1.1002000000000001</v>
      </c>
    </row>
    <row r="1233" spans="1:2" x14ac:dyDescent="0.2">
      <c r="A1233" s="57">
        <v>42656</v>
      </c>
      <c r="B1233">
        <v>1.1037999999999999</v>
      </c>
    </row>
    <row r="1234" spans="1:2" x14ac:dyDescent="0.2">
      <c r="A1234" s="57">
        <v>42655</v>
      </c>
      <c r="B1234">
        <v>1.1020000000000001</v>
      </c>
    </row>
    <row r="1235" spans="1:2" x14ac:dyDescent="0.2">
      <c r="A1235" s="57">
        <v>42654</v>
      </c>
      <c r="B1235">
        <v>1.1079000000000001</v>
      </c>
    </row>
    <row r="1236" spans="1:2" x14ac:dyDescent="0.2">
      <c r="A1236" s="57">
        <v>42653</v>
      </c>
      <c r="B1236">
        <v>1.1160000000000001</v>
      </c>
    </row>
    <row r="1237" spans="1:2" x14ac:dyDescent="0.2">
      <c r="A1237" s="57">
        <v>42652</v>
      </c>
    </row>
    <row r="1238" spans="1:2" x14ac:dyDescent="0.2">
      <c r="A1238" s="57">
        <v>42651</v>
      </c>
    </row>
    <row r="1239" spans="1:2" x14ac:dyDescent="0.2">
      <c r="A1239" s="57">
        <v>42650</v>
      </c>
      <c r="B1239">
        <v>1.1140000000000001</v>
      </c>
    </row>
    <row r="1240" spans="1:2" x14ac:dyDescent="0.2">
      <c r="A1240" s="57">
        <v>42649</v>
      </c>
      <c r="B1240">
        <v>1.1185</v>
      </c>
    </row>
    <row r="1241" spans="1:2" x14ac:dyDescent="0.2">
      <c r="A1241" s="57">
        <v>42648</v>
      </c>
      <c r="B1241">
        <v>1.1211</v>
      </c>
    </row>
    <row r="1242" spans="1:2" x14ac:dyDescent="0.2">
      <c r="A1242" s="57">
        <v>42647</v>
      </c>
      <c r="B1242">
        <v>1.1161000000000001</v>
      </c>
    </row>
    <row r="1243" spans="1:2" x14ac:dyDescent="0.2">
      <c r="A1243" s="57">
        <v>42646</v>
      </c>
      <c r="B1243">
        <v>1.1235999999999999</v>
      </c>
    </row>
    <row r="1244" spans="1:2" x14ac:dyDescent="0.2">
      <c r="A1244" s="57">
        <v>42645</v>
      </c>
    </row>
    <row r="1245" spans="1:2" x14ac:dyDescent="0.2">
      <c r="A1245" s="57">
        <v>42644</v>
      </c>
    </row>
    <row r="1246" spans="1:2" x14ac:dyDescent="0.2">
      <c r="A1246" s="57">
        <v>42643</v>
      </c>
      <c r="B1246">
        <v>1.1161000000000001</v>
      </c>
    </row>
    <row r="1247" spans="1:2" x14ac:dyDescent="0.2">
      <c r="A1247" s="57">
        <v>42642</v>
      </c>
      <c r="B1247">
        <v>1.1221000000000001</v>
      </c>
    </row>
    <row r="1248" spans="1:2" x14ac:dyDescent="0.2">
      <c r="A1248" s="57">
        <v>42641</v>
      </c>
      <c r="B1248">
        <v>1.1225000000000001</v>
      </c>
    </row>
    <row r="1249" spans="1:2" x14ac:dyDescent="0.2">
      <c r="A1249" s="57">
        <v>42640</v>
      </c>
      <c r="B1249">
        <v>1.1220000000000001</v>
      </c>
    </row>
    <row r="1250" spans="1:2" x14ac:dyDescent="0.2">
      <c r="A1250" s="57">
        <v>42639</v>
      </c>
      <c r="B1250">
        <v>1.1262000000000001</v>
      </c>
    </row>
    <row r="1251" spans="1:2" x14ac:dyDescent="0.2">
      <c r="A1251" s="57">
        <v>42638</v>
      </c>
    </row>
    <row r="1252" spans="1:2" x14ac:dyDescent="0.2">
      <c r="A1252" s="57">
        <v>42637</v>
      </c>
    </row>
    <row r="1253" spans="1:2" x14ac:dyDescent="0.2">
      <c r="A1253" s="57">
        <v>42636</v>
      </c>
      <c r="B1253">
        <v>1.1214</v>
      </c>
    </row>
    <row r="1254" spans="1:2" x14ac:dyDescent="0.2">
      <c r="A1254" s="57">
        <v>42635</v>
      </c>
      <c r="B1254">
        <v>1.1237999999999999</v>
      </c>
    </row>
    <row r="1255" spans="1:2" x14ac:dyDescent="0.2">
      <c r="A1255" s="57">
        <v>42634</v>
      </c>
      <c r="B1255">
        <v>1.115</v>
      </c>
    </row>
    <row r="1256" spans="1:2" x14ac:dyDescent="0.2">
      <c r="A1256" s="57">
        <v>42633</v>
      </c>
      <c r="B1256">
        <v>1.1184000000000001</v>
      </c>
    </row>
    <row r="1257" spans="1:2" x14ac:dyDescent="0.2">
      <c r="A1257" s="57">
        <v>42632</v>
      </c>
      <c r="B1257">
        <v>1.1165</v>
      </c>
    </row>
    <row r="1258" spans="1:2" x14ac:dyDescent="0.2">
      <c r="A1258" s="57">
        <v>42631</v>
      </c>
    </row>
    <row r="1259" spans="1:2" x14ac:dyDescent="0.2">
      <c r="A1259" s="57">
        <v>42630</v>
      </c>
    </row>
    <row r="1260" spans="1:2" x14ac:dyDescent="0.2">
      <c r="A1260" s="57">
        <v>42629</v>
      </c>
      <c r="B1260">
        <v>1.1226</v>
      </c>
    </row>
    <row r="1261" spans="1:2" x14ac:dyDescent="0.2">
      <c r="A1261" s="57">
        <v>42628</v>
      </c>
      <c r="B1261">
        <v>1.1254</v>
      </c>
    </row>
    <row r="1262" spans="1:2" x14ac:dyDescent="0.2">
      <c r="A1262" s="57">
        <v>42627</v>
      </c>
      <c r="B1262">
        <v>1.1217999999999999</v>
      </c>
    </row>
    <row r="1263" spans="1:2" x14ac:dyDescent="0.2">
      <c r="A1263" s="57">
        <v>42626</v>
      </c>
      <c r="B1263">
        <v>1.1247</v>
      </c>
    </row>
    <row r="1264" spans="1:2" x14ac:dyDescent="0.2">
      <c r="A1264" s="57">
        <v>42625</v>
      </c>
      <c r="B1264">
        <v>1.1226</v>
      </c>
    </row>
    <row r="1265" spans="1:2" x14ac:dyDescent="0.2">
      <c r="A1265" s="57">
        <v>42624</v>
      </c>
    </row>
    <row r="1266" spans="1:2" x14ac:dyDescent="0.2">
      <c r="A1266" s="57">
        <v>42623</v>
      </c>
    </row>
    <row r="1267" spans="1:2" x14ac:dyDescent="0.2">
      <c r="A1267" s="57">
        <v>42622</v>
      </c>
      <c r="B1267">
        <v>1.1268</v>
      </c>
    </row>
    <row r="1268" spans="1:2" x14ac:dyDescent="0.2">
      <c r="A1268" s="57">
        <v>42621</v>
      </c>
      <c r="B1268">
        <v>1.1295999999999999</v>
      </c>
    </row>
    <row r="1269" spans="1:2" x14ac:dyDescent="0.2">
      <c r="A1269" s="57">
        <v>42620</v>
      </c>
      <c r="B1269">
        <v>1.1236999999999999</v>
      </c>
    </row>
    <row r="1270" spans="1:2" x14ac:dyDescent="0.2">
      <c r="A1270" s="57">
        <v>42619</v>
      </c>
      <c r="B1270">
        <v>1.1158999999999999</v>
      </c>
    </row>
    <row r="1271" spans="1:2" x14ac:dyDescent="0.2">
      <c r="A1271" s="57">
        <v>42618</v>
      </c>
      <c r="B1271">
        <v>1.1155999999999999</v>
      </c>
    </row>
    <row r="1272" spans="1:2" x14ac:dyDescent="0.2">
      <c r="A1272" s="57">
        <v>42617</v>
      </c>
    </row>
    <row r="1273" spans="1:2" x14ac:dyDescent="0.2">
      <c r="A1273" s="57">
        <v>42616</v>
      </c>
    </row>
    <row r="1274" spans="1:2" x14ac:dyDescent="0.2">
      <c r="A1274" s="57">
        <v>42615</v>
      </c>
      <c r="B1274">
        <v>1.1193</v>
      </c>
    </row>
    <row r="1275" spans="1:2" x14ac:dyDescent="0.2">
      <c r="A1275" s="57">
        <v>42614</v>
      </c>
      <c r="B1275">
        <v>1.1146</v>
      </c>
    </row>
    <row r="1276" spans="1:2" x14ac:dyDescent="0.2">
      <c r="A1276" s="57">
        <v>42613</v>
      </c>
      <c r="B1276">
        <v>1.1132</v>
      </c>
    </row>
    <row r="1277" spans="1:2" x14ac:dyDescent="0.2">
      <c r="A1277" s="57">
        <v>42612</v>
      </c>
      <c r="B1277">
        <v>1.1168</v>
      </c>
    </row>
    <row r="1278" spans="1:2" x14ac:dyDescent="0.2">
      <c r="A1278" s="57">
        <v>42611</v>
      </c>
      <c r="B1278">
        <v>1.117</v>
      </c>
    </row>
    <row r="1279" spans="1:2" x14ac:dyDescent="0.2">
      <c r="A1279" s="57">
        <v>42610</v>
      </c>
    </row>
    <row r="1280" spans="1:2" x14ac:dyDescent="0.2">
      <c r="A1280" s="57">
        <v>42609</v>
      </c>
    </row>
    <row r="1281" spans="1:2" x14ac:dyDescent="0.2">
      <c r="A1281" s="57">
        <v>42608</v>
      </c>
      <c r="B1281">
        <v>1.129</v>
      </c>
    </row>
    <row r="1282" spans="1:2" x14ac:dyDescent="0.2">
      <c r="A1282" s="57">
        <v>42607</v>
      </c>
      <c r="B1282">
        <v>1.129</v>
      </c>
    </row>
    <row r="1283" spans="1:2" x14ac:dyDescent="0.2">
      <c r="A1283" s="57">
        <v>42606</v>
      </c>
      <c r="B1283">
        <v>1.1268</v>
      </c>
    </row>
    <row r="1284" spans="1:2" x14ac:dyDescent="0.2">
      <c r="A1284" s="57">
        <v>42605</v>
      </c>
      <c r="B1284">
        <v>1.1338999999999999</v>
      </c>
    </row>
    <row r="1285" spans="1:2" x14ac:dyDescent="0.2">
      <c r="A1285" s="57">
        <v>42604</v>
      </c>
      <c r="B1285">
        <v>1.1306</v>
      </c>
    </row>
    <row r="1286" spans="1:2" x14ac:dyDescent="0.2">
      <c r="A1286" s="57">
        <v>42603</v>
      </c>
    </row>
    <row r="1287" spans="1:2" x14ac:dyDescent="0.2">
      <c r="A1287" s="57">
        <v>42602</v>
      </c>
    </row>
    <row r="1288" spans="1:2" x14ac:dyDescent="0.2">
      <c r="A1288" s="57">
        <v>42601</v>
      </c>
      <c r="B1288">
        <v>1.1326000000000001</v>
      </c>
    </row>
    <row r="1289" spans="1:2" x14ac:dyDescent="0.2">
      <c r="A1289" s="57">
        <v>42600</v>
      </c>
      <c r="B1289">
        <v>1.1321000000000001</v>
      </c>
    </row>
    <row r="1290" spans="1:2" x14ac:dyDescent="0.2">
      <c r="A1290" s="57">
        <v>42599</v>
      </c>
      <c r="B1290">
        <v>1.1275999999999999</v>
      </c>
    </row>
    <row r="1291" spans="1:2" x14ac:dyDescent="0.2">
      <c r="A1291" s="57">
        <v>42598</v>
      </c>
      <c r="B1291">
        <v>1.1294999999999999</v>
      </c>
    </row>
    <row r="1292" spans="1:2" x14ac:dyDescent="0.2">
      <c r="A1292" s="57">
        <v>42597</v>
      </c>
      <c r="B1292">
        <v>1.1180000000000001</v>
      </c>
    </row>
    <row r="1293" spans="1:2" x14ac:dyDescent="0.2">
      <c r="A1293" s="57">
        <v>42596</v>
      </c>
    </row>
    <row r="1294" spans="1:2" x14ac:dyDescent="0.2">
      <c r="A1294" s="57">
        <v>42595</v>
      </c>
    </row>
    <row r="1295" spans="1:2" x14ac:dyDescent="0.2">
      <c r="A1295" s="57">
        <v>42594</v>
      </c>
      <c r="B1295">
        <v>1.1157999999999999</v>
      </c>
    </row>
    <row r="1296" spans="1:2" x14ac:dyDescent="0.2">
      <c r="A1296" s="57">
        <v>42593</v>
      </c>
      <c r="B1296">
        <v>1.1153</v>
      </c>
    </row>
    <row r="1297" spans="1:2" x14ac:dyDescent="0.2">
      <c r="A1297" s="57">
        <v>42592</v>
      </c>
      <c r="B1297">
        <v>1.1184000000000001</v>
      </c>
    </row>
    <row r="1298" spans="1:2" x14ac:dyDescent="0.2">
      <c r="A1298" s="57">
        <v>42591</v>
      </c>
      <c r="B1298">
        <v>1.1077999999999999</v>
      </c>
    </row>
    <row r="1299" spans="1:2" x14ac:dyDescent="0.2">
      <c r="A1299" s="57">
        <v>42590</v>
      </c>
      <c r="B1299">
        <v>1.1087</v>
      </c>
    </row>
    <row r="1300" spans="1:2" x14ac:dyDescent="0.2">
      <c r="A1300" s="57">
        <v>42589</v>
      </c>
    </row>
    <row r="1301" spans="1:2" x14ac:dyDescent="0.2">
      <c r="A1301" s="57">
        <v>42588</v>
      </c>
    </row>
    <row r="1302" spans="1:2" x14ac:dyDescent="0.2">
      <c r="A1302" s="57">
        <v>42587</v>
      </c>
      <c r="B1302">
        <v>1.1155999999999999</v>
      </c>
    </row>
    <row r="1303" spans="1:2" x14ac:dyDescent="0.2">
      <c r="A1303" s="57">
        <v>42586</v>
      </c>
      <c r="B1303">
        <v>1.1135999999999999</v>
      </c>
    </row>
    <row r="1304" spans="1:2" x14ac:dyDescent="0.2">
      <c r="A1304" s="57">
        <v>42585</v>
      </c>
      <c r="B1304">
        <v>1.1200000000000001</v>
      </c>
    </row>
    <row r="1305" spans="1:2" x14ac:dyDescent="0.2">
      <c r="A1305" s="57">
        <v>42584</v>
      </c>
      <c r="B1305">
        <v>1.1193</v>
      </c>
    </row>
    <row r="1306" spans="1:2" x14ac:dyDescent="0.2">
      <c r="A1306" s="57">
        <v>42583</v>
      </c>
      <c r="B1306">
        <v>1.1164000000000001</v>
      </c>
    </row>
    <row r="1307" spans="1:2" x14ac:dyDescent="0.2">
      <c r="A1307" s="57">
        <v>42582</v>
      </c>
    </row>
    <row r="1308" spans="1:2" x14ac:dyDescent="0.2">
      <c r="A1308" s="57">
        <v>42581</v>
      </c>
    </row>
    <row r="1309" spans="1:2" x14ac:dyDescent="0.2">
      <c r="A1309" s="57">
        <v>42580</v>
      </c>
      <c r="B1309">
        <v>1.1113</v>
      </c>
    </row>
    <row r="1310" spans="1:2" x14ac:dyDescent="0.2">
      <c r="A1310" s="57">
        <v>42579</v>
      </c>
      <c r="B1310">
        <v>1.109</v>
      </c>
    </row>
    <row r="1311" spans="1:2" x14ac:dyDescent="0.2">
      <c r="A1311" s="57">
        <v>42578</v>
      </c>
      <c r="B1311">
        <v>1.0991</v>
      </c>
    </row>
    <row r="1312" spans="1:2" x14ac:dyDescent="0.2">
      <c r="A1312" s="57">
        <v>42577</v>
      </c>
      <c r="B1312">
        <v>1.0996999999999999</v>
      </c>
    </row>
    <row r="1313" spans="1:2" x14ac:dyDescent="0.2">
      <c r="A1313" s="57">
        <v>42576</v>
      </c>
      <c r="B1313">
        <v>1.0982000000000001</v>
      </c>
    </row>
    <row r="1314" spans="1:2" x14ac:dyDescent="0.2">
      <c r="A1314" s="57">
        <v>42575</v>
      </c>
    </row>
    <row r="1315" spans="1:2" x14ac:dyDescent="0.2">
      <c r="A1315" s="57">
        <v>42574</v>
      </c>
    </row>
    <row r="1316" spans="1:2" x14ac:dyDescent="0.2">
      <c r="A1316" s="57">
        <v>42573</v>
      </c>
      <c r="B1316">
        <v>1.1013999999999999</v>
      </c>
    </row>
    <row r="1317" spans="1:2" x14ac:dyDescent="0.2">
      <c r="A1317" s="57">
        <v>42572</v>
      </c>
      <c r="B1317">
        <v>1.1014999999999999</v>
      </c>
    </row>
    <row r="1318" spans="1:2" x14ac:dyDescent="0.2">
      <c r="A1318" s="57">
        <v>42571</v>
      </c>
      <c r="B1318">
        <v>1.1012999999999999</v>
      </c>
    </row>
    <row r="1319" spans="1:2" x14ac:dyDescent="0.2">
      <c r="A1319" s="57">
        <v>42570</v>
      </c>
      <c r="B1319">
        <v>1.1034999999999999</v>
      </c>
    </row>
    <row r="1320" spans="1:2" x14ac:dyDescent="0.2">
      <c r="A1320" s="57">
        <v>42569</v>
      </c>
      <c r="B1320">
        <v>1.1052999999999999</v>
      </c>
    </row>
    <row r="1321" spans="1:2" x14ac:dyDescent="0.2">
      <c r="A1321" s="57">
        <v>42568</v>
      </c>
    </row>
    <row r="1322" spans="1:2" x14ac:dyDescent="0.2">
      <c r="A1322" s="57">
        <v>42567</v>
      </c>
    </row>
    <row r="1323" spans="1:2" x14ac:dyDescent="0.2">
      <c r="A1323" s="57">
        <v>42566</v>
      </c>
      <c r="B1323">
        <v>1.1128</v>
      </c>
    </row>
    <row r="1324" spans="1:2" x14ac:dyDescent="0.2">
      <c r="A1324" s="57">
        <v>42565</v>
      </c>
      <c r="B1324">
        <v>1.1156999999999999</v>
      </c>
    </row>
    <row r="1325" spans="1:2" x14ac:dyDescent="0.2">
      <c r="A1325" s="57">
        <v>42564</v>
      </c>
      <c r="B1325">
        <v>1.1072</v>
      </c>
    </row>
    <row r="1326" spans="1:2" x14ac:dyDescent="0.2">
      <c r="A1326" s="57">
        <v>42563</v>
      </c>
      <c r="B1326">
        <v>1.1092</v>
      </c>
    </row>
    <row r="1327" spans="1:2" x14ac:dyDescent="0.2">
      <c r="A1327" s="57">
        <v>42562</v>
      </c>
      <c r="B1327">
        <v>1.1049</v>
      </c>
    </row>
    <row r="1328" spans="1:2" x14ac:dyDescent="0.2">
      <c r="A1328" s="57">
        <v>42561</v>
      </c>
    </row>
    <row r="1329" spans="1:2" x14ac:dyDescent="0.2">
      <c r="A1329" s="57">
        <v>42560</v>
      </c>
    </row>
    <row r="1330" spans="1:2" x14ac:dyDescent="0.2">
      <c r="A1330" s="57">
        <v>42559</v>
      </c>
      <c r="B1330">
        <v>1.107</v>
      </c>
    </row>
    <row r="1331" spans="1:2" x14ac:dyDescent="0.2">
      <c r="A1331" s="57">
        <v>42558</v>
      </c>
      <c r="B1331">
        <v>1.1080000000000001</v>
      </c>
    </row>
    <row r="1332" spans="1:2" x14ac:dyDescent="0.2">
      <c r="A1332" s="57">
        <v>42557</v>
      </c>
      <c r="B1332">
        <v>1.1069</v>
      </c>
    </row>
    <row r="1333" spans="1:2" x14ac:dyDescent="0.2">
      <c r="A1333" s="57">
        <v>42556</v>
      </c>
      <c r="B1333">
        <v>1.1146</v>
      </c>
    </row>
    <row r="1334" spans="1:2" x14ac:dyDescent="0.2">
      <c r="A1334" s="57">
        <v>42555</v>
      </c>
      <c r="B1334">
        <v>1.1137999999999999</v>
      </c>
    </row>
    <row r="1335" spans="1:2" x14ac:dyDescent="0.2">
      <c r="A1335" s="57">
        <v>42554</v>
      </c>
    </row>
    <row r="1336" spans="1:2" x14ac:dyDescent="0.2">
      <c r="A1336" s="57">
        <v>42553</v>
      </c>
    </row>
    <row r="1337" spans="1:2" x14ac:dyDescent="0.2">
      <c r="A1337" s="57">
        <v>42552</v>
      </c>
      <c r="B1337">
        <v>1.1134999999999999</v>
      </c>
    </row>
    <row r="1338" spans="1:2" x14ac:dyDescent="0.2">
      <c r="A1338" s="57">
        <v>42551</v>
      </c>
      <c r="B1338">
        <v>1.1102000000000001</v>
      </c>
    </row>
    <row r="1339" spans="1:2" x14ac:dyDescent="0.2">
      <c r="A1339" s="57">
        <v>42550</v>
      </c>
      <c r="B1339">
        <v>1.109</v>
      </c>
    </row>
    <row r="1340" spans="1:2" x14ac:dyDescent="0.2">
      <c r="A1340" s="57">
        <v>42549</v>
      </c>
      <c r="B1340">
        <v>1.1073</v>
      </c>
    </row>
    <row r="1341" spans="1:2" x14ac:dyDescent="0.2">
      <c r="A1341" s="57">
        <v>42548</v>
      </c>
      <c r="B1341">
        <v>1.0998000000000001</v>
      </c>
    </row>
    <row r="1342" spans="1:2" x14ac:dyDescent="0.2">
      <c r="A1342" s="57">
        <v>42547</v>
      </c>
    </row>
    <row r="1343" spans="1:2" x14ac:dyDescent="0.2">
      <c r="A1343" s="57">
        <v>42546</v>
      </c>
    </row>
    <row r="1344" spans="1:2" x14ac:dyDescent="0.2">
      <c r="A1344" s="57">
        <v>42545</v>
      </c>
      <c r="B1344">
        <v>1.1066</v>
      </c>
    </row>
    <row r="1345" spans="1:2" x14ac:dyDescent="0.2">
      <c r="A1345" s="57">
        <v>42544</v>
      </c>
      <c r="B1345">
        <v>1.1389</v>
      </c>
    </row>
    <row r="1346" spans="1:2" x14ac:dyDescent="0.2">
      <c r="A1346" s="57">
        <v>42543</v>
      </c>
      <c r="B1346">
        <v>1.1283000000000001</v>
      </c>
    </row>
    <row r="1347" spans="1:2" x14ac:dyDescent="0.2">
      <c r="A1347" s="57">
        <v>42542</v>
      </c>
      <c r="B1347">
        <v>1.1314</v>
      </c>
    </row>
    <row r="1348" spans="1:2" x14ac:dyDescent="0.2">
      <c r="A1348" s="57">
        <v>42541</v>
      </c>
      <c r="B1348">
        <v>1.1332</v>
      </c>
    </row>
    <row r="1349" spans="1:2" x14ac:dyDescent="0.2">
      <c r="A1349" s="57">
        <v>42540</v>
      </c>
    </row>
    <row r="1350" spans="1:2" x14ac:dyDescent="0.2">
      <c r="A1350" s="57">
        <v>42539</v>
      </c>
    </row>
    <row r="1351" spans="1:2" x14ac:dyDescent="0.2">
      <c r="A1351" s="57">
        <v>42538</v>
      </c>
      <c r="B1351">
        <v>1.1254</v>
      </c>
    </row>
    <row r="1352" spans="1:2" x14ac:dyDescent="0.2">
      <c r="A1352" s="57">
        <v>42537</v>
      </c>
      <c r="B1352">
        <v>1.1173999999999999</v>
      </c>
    </row>
    <row r="1353" spans="1:2" x14ac:dyDescent="0.2">
      <c r="A1353" s="57">
        <v>42536</v>
      </c>
      <c r="B1353">
        <v>1.123</v>
      </c>
    </row>
    <row r="1354" spans="1:2" x14ac:dyDescent="0.2">
      <c r="A1354" s="57">
        <v>42535</v>
      </c>
      <c r="B1354">
        <v>1.1225000000000001</v>
      </c>
    </row>
    <row r="1355" spans="1:2" x14ac:dyDescent="0.2">
      <c r="A1355" s="57">
        <v>42534</v>
      </c>
      <c r="B1355">
        <v>1.1268</v>
      </c>
    </row>
    <row r="1356" spans="1:2" x14ac:dyDescent="0.2">
      <c r="A1356" s="57">
        <v>42533</v>
      </c>
    </row>
    <row r="1357" spans="1:2" x14ac:dyDescent="0.2">
      <c r="A1357" s="57">
        <v>42532</v>
      </c>
    </row>
    <row r="1358" spans="1:2" x14ac:dyDescent="0.2">
      <c r="A1358" s="57">
        <v>42531</v>
      </c>
      <c r="B1358">
        <v>1.1304000000000001</v>
      </c>
    </row>
    <row r="1359" spans="1:2" x14ac:dyDescent="0.2">
      <c r="A1359" s="57">
        <v>42530</v>
      </c>
      <c r="B1359">
        <v>1.1343000000000001</v>
      </c>
    </row>
    <row r="1360" spans="1:2" x14ac:dyDescent="0.2">
      <c r="A1360" s="57">
        <v>42529</v>
      </c>
      <c r="B1360">
        <v>1.1377999999999999</v>
      </c>
    </row>
    <row r="1361" spans="1:2" x14ac:dyDescent="0.2">
      <c r="A1361" s="57">
        <v>42528</v>
      </c>
      <c r="B1361">
        <v>1.1348</v>
      </c>
    </row>
    <row r="1362" spans="1:2" x14ac:dyDescent="0.2">
      <c r="A1362" s="57">
        <v>42527</v>
      </c>
      <c r="B1362">
        <v>1.1349</v>
      </c>
    </row>
    <row r="1363" spans="1:2" x14ac:dyDescent="0.2">
      <c r="A1363" s="57">
        <v>42526</v>
      </c>
    </row>
    <row r="1364" spans="1:2" x14ac:dyDescent="0.2">
      <c r="A1364" s="57">
        <v>42525</v>
      </c>
    </row>
    <row r="1365" spans="1:2" x14ac:dyDescent="0.2">
      <c r="A1365" s="57">
        <v>42524</v>
      </c>
      <c r="B1365">
        <v>1.1153999999999999</v>
      </c>
    </row>
    <row r="1366" spans="1:2" x14ac:dyDescent="0.2">
      <c r="A1366" s="57">
        <v>42523</v>
      </c>
      <c r="B1366">
        <v>1.1188</v>
      </c>
    </row>
    <row r="1367" spans="1:2" x14ac:dyDescent="0.2">
      <c r="A1367" s="57">
        <v>42522</v>
      </c>
      <c r="B1367">
        <v>1.1173999999999999</v>
      </c>
    </row>
    <row r="1368" spans="1:2" x14ac:dyDescent="0.2">
      <c r="A1368" s="57">
        <v>42521</v>
      </c>
      <c r="B1368">
        <v>1.1153999999999999</v>
      </c>
    </row>
    <row r="1369" spans="1:2" x14ac:dyDescent="0.2">
      <c r="A1369" s="57">
        <v>42520</v>
      </c>
      <c r="B1369">
        <v>1.1138999999999999</v>
      </c>
    </row>
    <row r="1370" spans="1:2" x14ac:dyDescent="0.2">
      <c r="A1370" s="57">
        <v>42519</v>
      </c>
    </row>
    <row r="1371" spans="1:2" x14ac:dyDescent="0.2">
      <c r="A1371" s="57">
        <v>42518</v>
      </c>
    </row>
    <row r="1372" spans="1:2" x14ac:dyDescent="0.2">
      <c r="A1372" s="57">
        <v>42517</v>
      </c>
      <c r="B1372">
        <v>1.1168</v>
      </c>
    </row>
    <row r="1373" spans="1:2" x14ac:dyDescent="0.2">
      <c r="A1373" s="57">
        <v>42516</v>
      </c>
      <c r="B1373">
        <v>1.1168</v>
      </c>
    </row>
    <row r="1374" spans="1:2" x14ac:dyDescent="0.2">
      <c r="A1374" s="57">
        <v>42515</v>
      </c>
      <c r="B1374">
        <v>1.1146</v>
      </c>
    </row>
    <row r="1375" spans="1:2" x14ac:dyDescent="0.2">
      <c r="A1375" s="57">
        <v>42514</v>
      </c>
      <c r="B1375">
        <v>1.1168</v>
      </c>
    </row>
    <row r="1376" spans="1:2" x14ac:dyDescent="0.2">
      <c r="A1376" s="57">
        <v>42513</v>
      </c>
      <c r="B1376">
        <v>1.1214999999999999</v>
      </c>
    </row>
    <row r="1377" spans="1:2" x14ac:dyDescent="0.2">
      <c r="A1377" s="57">
        <v>42512</v>
      </c>
    </row>
    <row r="1378" spans="1:2" x14ac:dyDescent="0.2">
      <c r="A1378" s="57">
        <v>42511</v>
      </c>
    </row>
    <row r="1379" spans="1:2" x14ac:dyDescent="0.2">
      <c r="A1379" s="57">
        <v>42510</v>
      </c>
      <c r="B1379">
        <v>1.1218999999999999</v>
      </c>
    </row>
    <row r="1380" spans="1:2" x14ac:dyDescent="0.2">
      <c r="A1380" s="57">
        <v>42509</v>
      </c>
      <c r="B1380">
        <v>1.1196999999999999</v>
      </c>
    </row>
    <row r="1381" spans="1:2" x14ac:dyDescent="0.2">
      <c r="A1381" s="57">
        <v>42508</v>
      </c>
      <c r="B1381">
        <v>1.1278999999999999</v>
      </c>
    </row>
    <row r="1382" spans="1:2" x14ac:dyDescent="0.2">
      <c r="A1382" s="57">
        <v>42507</v>
      </c>
      <c r="B1382">
        <v>1.1317999999999999</v>
      </c>
    </row>
    <row r="1383" spans="1:2" x14ac:dyDescent="0.2">
      <c r="A1383" s="57">
        <v>42506</v>
      </c>
      <c r="B1383">
        <v>1.1324000000000001</v>
      </c>
    </row>
    <row r="1384" spans="1:2" x14ac:dyDescent="0.2">
      <c r="A1384" s="57">
        <v>42505</v>
      </c>
    </row>
    <row r="1385" spans="1:2" x14ac:dyDescent="0.2">
      <c r="A1385" s="57">
        <v>42504</v>
      </c>
    </row>
    <row r="1386" spans="1:2" x14ac:dyDescent="0.2">
      <c r="A1386" s="57">
        <v>42503</v>
      </c>
      <c r="B1386">
        <v>1.1348</v>
      </c>
    </row>
    <row r="1387" spans="1:2" x14ac:dyDescent="0.2">
      <c r="A1387" s="57">
        <v>42502</v>
      </c>
      <c r="B1387">
        <v>1.1389</v>
      </c>
    </row>
    <row r="1388" spans="1:2" x14ac:dyDescent="0.2">
      <c r="A1388" s="57">
        <v>42501</v>
      </c>
      <c r="B1388">
        <v>1.1409</v>
      </c>
    </row>
    <row r="1389" spans="1:2" x14ac:dyDescent="0.2">
      <c r="A1389" s="57">
        <v>42500</v>
      </c>
      <c r="B1389">
        <v>1.1375</v>
      </c>
    </row>
    <row r="1390" spans="1:2" x14ac:dyDescent="0.2">
      <c r="A1390" s="57">
        <v>42499</v>
      </c>
      <c r="B1390">
        <v>1.1395</v>
      </c>
    </row>
    <row r="1391" spans="1:2" x14ac:dyDescent="0.2">
      <c r="A1391" s="57">
        <v>42498</v>
      </c>
    </row>
    <row r="1392" spans="1:2" x14ac:dyDescent="0.2">
      <c r="A1392" s="57">
        <v>42497</v>
      </c>
    </row>
    <row r="1393" spans="1:2" x14ac:dyDescent="0.2">
      <c r="A1393" s="57">
        <v>42496</v>
      </c>
      <c r="B1393">
        <v>1.1427</v>
      </c>
    </row>
    <row r="1394" spans="1:2" x14ac:dyDescent="0.2">
      <c r="A1394" s="57">
        <v>42495</v>
      </c>
      <c r="B1394">
        <v>1.1438999999999999</v>
      </c>
    </row>
    <row r="1395" spans="1:2" x14ac:dyDescent="0.2">
      <c r="A1395" s="57">
        <v>42494</v>
      </c>
      <c r="B1395">
        <v>1.1505000000000001</v>
      </c>
    </row>
    <row r="1396" spans="1:2" x14ac:dyDescent="0.2">
      <c r="A1396" s="57">
        <v>42493</v>
      </c>
      <c r="B1396">
        <v>1.1569</v>
      </c>
    </row>
    <row r="1397" spans="1:2" x14ac:dyDescent="0.2">
      <c r="A1397" s="57">
        <v>42492</v>
      </c>
      <c r="B1397">
        <v>1.1493</v>
      </c>
    </row>
    <row r="1398" spans="1:2" x14ac:dyDescent="0.2">
      <c r="A1398" s="57">
        <v>42491</v>
      </c>
    </row>
    <row r="1399" spans="1:2" x14ac:dyDescent="0.2">
      <c r="A1399" s="57">
        <v>42490</v>
      </c>
    </row>
    <row r="1400" spans="1:2" x14ac:dyDescent="0.2">
      <c r="A1400" s="57">
        <v>42489</v>
      </c>
      <c r="B1400">
        <v>1.1403000000000001</v>
      </c>
    </row>
    <row r="1401" spans="1:2" x14ac:dyDescent="0.2">
      <c r="A1401" s="57">
        <v>42488</v>
      </c>
      <c r="B1401">
        <v>1.1357999999999999</v>
      </c>
    </row>
    <row r="1402" spans="1:2" x14ac:dyDescent="0.2">
      <c r="A1402" s="57">
        <v>42487</v>
      </c>
      <c r="B1402">
        <v>1.1303000000000001</v>
      </c>
    </row>
    <row r="1403" spans="1:2" x14ac:dyDescent="0.2">
      <c r="A1403" s="57">
        <v>42486</v>
      </c>
      <c r="B1403">
        <v>1.1287</v>
      </c>
    </row>
    <row r="1404" spans="1:2" x14ac:dyDescent="0.2">
      <c r="A1404" s="57">
        <v>42485</v>
      </c>
      <c r="B1404">
        <v>1.1264000000000001</v>
      </c>
    </row>
    <row r="1405" spans="1:2" x14ac:dyDescent="0.2">
      <c r="A1405" s="57">
        <v>42484</v>
      </c>
    </row>
    <row r="1406" spans="1:2" x14ac:dyDescent="0.2">
      <c r="A1406" s="57">
        <v>42483</v>
      </c>
    </row>
    <row r="1407" spans="1:2" x14ac:dyDescent="0.2">
      <c r="A1407" s="57">
        <v>42482</v>
      </c>
      <c r="B1407">
        <v>1.1263000000000001</v>
      </c>
    </row>
    <row r="1408" spans="1:2" x14ac:dyDescent="0.2">
      <c r="A1408" s="57">
        <v>42481</v>
      </c>
      <c r="B1408">
        <v>1.1355</v>
      </c>
    </row>
    <row r="1409" spans="1:2" x14ac:dyDescent="0.2">
      <c r="A1409" s="57">
        <v>42480</v>
      </c>
      <c r="B1409">
        <v>1.1378999999999999</v>
      </c>
    </row>
    <row r="1410" spans="1:2" x14ac:dyDescent="0.2">
      <c r="A1410" s="57">
        <v>42479</v>
      </c>
      <c r="B1410">
        <v>1.1343000000000001</v>
      </c>
    </row>
    <row r="1411" spans="1:2" x14ac:dyDescent="0.2">
      <c r="A1411" s="57">
        <v>42478</v>
      </c>
      <c r="B1411">
        <v>1.1306</v>
      </c>
    </row>
    <row r="1412" spans="1:2" x14ac:dyDescent="0.2">
      <c r="A1412" s="57">
        <v>42477</v>
      </c>
    </row>
    <row r="1413" spans="1:2" x14ac:dyDescent="0.2">
      <c r="A1413" s="57">
        <v>42476</v>
      </c>
    </row>
    <row r="1414" spans="1:2" x14ac:dyDescent="0.2">
      <c r="A1414" s="57">
        <v>42475</v>
      </c>
      <c r="B1414">
        <v>1.1284000000000001</v>
      </c>
    </row>
    <row r="1415" spans="1:2" x14ac:dyDescent="0.2">
      <c r="A1415" s="57">
        <v>42474</v>
      </c>
      <c r="B1415">
        <v>1.1252</v>
      </c>
    </row>
    <row r="1416" spans="1:2" x14ac:dyDescent="0.2">
      <c r="A1416" s="57">
        <v>42473</v>
      </c>
      <c r="B1416">
        <v>1.1297999999999999</v>
      </c>
    </row>
    <row r="1417" spans="1:2" x14ac:dyDescent="0.2">
      <c r="A1417" s="57">
        <v>42472</v>
      </c>
      <c r="B1417">
        <v>1.1395999999999999</v>
      </c>
    </row>
    <row r="1418" spans="1:2" x14ac:dyDescent="0.2">
      <c r="A1418" s="57">
        <v>42471</v>
      </c>
      <c r="B1418">
        <v>1.139</v>
      </c>
    </row>
    <row r="1419" spans="1:2" x14ac:dyDescent="0.2">
      <c r="A1419" s="57">
        <v>42470</v>
      </c>
    </row>
    <row r="1420" spans="1:2" x14ac:dyDescent="0.2">
      <c r="A1420" s="57">
        <v>42469</v>
      </c>
    </row>
    <row r="1421" spans="1:2" x14ac:dyDescent="0.2">
      <c r="A1421" s="57">
        <v>42468</v>
      </c>
      <c r="B1421">
        <v>1.1363000000000001</v>
      </c>
    </row>
    <row r="1422" spans="1:2" x14ac:dyDescent="0.2">
      <c r="A1422" s="57">
        <v>42467</v>
      </c>
      <c r="B1422">
        <v>1.1364000000000001</v>
      </c>
    </row>
    <row r="1423" spans="1:2" x14ac:dyDescent="0.2">
      <c r="A1423" s="57">
        <v>42466</v>
      </c>
      <c r="B1423">
        <v>1.1335999999999999</v>
      </c>
    </row>
    <row r="1424" spans="1:2" x14ac:dyDescent="0.2">
      <c r="A1424" s="57">
        <v>42465</v>
      </c>
      <c r="B1424">
        <v>1.1367</v>
      </c>
    </row>
    <row r="1425" spans="1:2" x14ac:dyDescent="0.2">
      <c r="A1425" s="57">
        <v>42464</v>
      </c>
      <c r="B1425">
        <v>1.1379999999999999</v>
      </c>
    </row>
    <row r="1426" spans="1:2" x14ac:dyDescent="0.2">
      <c r="A1426" s="57">
        <v>42463</v>
      </c>
    </row>
    <row r="1427" spans="1:2" x14ac:dyDescent="0.2">
      <c r="A1427" s="57">
        <v>42462</v>
      </c>
    </row>
    <row r="1428" spans="1:2" x14ac:dyDescent="0.2">
      <c r="A1428" s="57">
        <v>42461</v>
      </c>
      <c r="B1428">
        <v>1.1432</v>
      </c>
    </row>
    <row r="1429" spans="1:2" x14ac:dyDescent="0.2">
      <c r="A1429" s="57">
        <v>42460</v>
      </c>
      <c r="B1429">
        <v>1.1385000000000001</v>
      </c>
    </row>
    <row r="1430" spans="1:2" x14ac:dyDescent="0.2">
      <c r="A1430" s="57">
        <v>42459</v>
      </c>
      <c r="B1430">
        <v>1.1324000000000001</v>
      </c>
    </row>
    <row r="1431" spans="1:2" x14ac:dyDescent="0.2">
      <c r="A1431" s="57">
        <v>42458</v>
      </c>
      <c r="B1431">
        <v>1.1194</v>
      </c>
    </row>
    <row r="1432" spans="1:2" x14ac:dyDescent="0.2">
      <c r="A1432" s="57">
        <v>42457</v>
      </c>
    </row>
    <row r="1433" spans="1:2" x14ac:dyDescent="0.2">
      <c r="A1433" s="57">
        <v>42456</v>
      </c>
    </row>
    <row r="1434" spans="1:2" x14ac:dyDescent="0.2">
      <c r="A1434" s="57">
        <v>42455</v>
      </c>
    </row>
    <row r="1435" spans="1:2" x14ac:dyDescent="0.2">
      <c r="A1435" s="57">
        <v>42454</v>
      </c>
    </row>
    <row r="1436" spans="1:2" x14ac:dyDescent="0.2">
      <c r="A1436" s="57">
        <v>42453</v>
      </c>
      <c r="B1436">
        <v>1.1153999999999999</v>
      </c>
    </row>
    <row r="1437" spans="1:2" x14ac:dyDescent="0.2">
      <c r="A1437" s="57">
        <v>42452</v>
      </c>
      <c r="B1437">
        <v>1.1171</v>
      </c>
    </row>
    <row r="1438" spans="1:2" x14ac:dyDescent="0.2">
      <c r="A1438" s="57">
        <v>42451</v>
      </c>
      <c r="B1438">
        <v>1.1212</v>
      </c>
    </row>
    <row r="1439" spans="1:2" x14ac:dyDescent="0.2">
      <c r="A1439" s="57">
        <v>42450</v>
      </c>
      <c r="B1439">
        <v>1.1271</v>
      </c>
    </row>
    <row r="1440" spans="1:2" x14ac:dyDescent="0.2">
      <c r="A1440" s="57">
        <v>42449</v>
      </c>
    </row>
    <row r="1441" spans="1:2" x14ac:dyDescent="0.2">
      <c r="A1441" s="57">
        <v>42448</v>
      </c>
    </row>
    <row r="1442" spans="1:2" x14ac:dyDescent="0.2">
      <c r="A1442" s="57">
        <v>42447</v>
      </c>
      <c r="B1442">
        <v>1.1278999999999999</v>
      </c>
    </row>
    <row r="1443" spans="1:2" x14ac:dyDescent="0.2">
      <c r="A1443" s="57">
        <v>42446</v>
      </c>
      <c r="B1443">
        <v>1.1311</v>
      </c>
    </row>
    <row r="1444" spans="1:2" x14ac:dyDescent="0.2">
      <c r="A1444" s="57">
        <v>42445</v>
      </c>
      <c r="B1444">
        <v>1.1064000000000001</v>
      </c>
    </row>
    <row r="1445" spans="1:2" x14ac:dyDescent="0.2">
      <c r="A1445" s="57">
        <v>42444</v>
      </c>
      <c r="B1445">
        <v>1.1109</v>
      </c>
    </row>
    <row r="1446" spans="1:2" x14ac:dyDescent="0.2">
      <c r="A1446" s="57">
        <v>42443</v>
      </c>
      <c r="B1446">
        <v>1.1119000000000001</v>
      </c>
    </row>
    <row r="1447" spans="1:2" x14ac:dyDescent="0.2">
      <c r="A1447" s="57">
        <v>42442</v>
      </c>
    </row>
    <row r="1448" spans="1:2" x14ac:dyDescent="0.2">
      <c r="A1448" s="57">
        <v>42441</v>
      </c>
    </row>
    <row r="1449" spans="1:2" x14ac:dyDescent="0.2">
      <c r="A1449" s="57">
        <v>42440</v>
      </c>
      <c r="B1449">
        <v>1.109</v>
      </c>
    </row>
    <row r="1450" spans="1:2" x14ac:dyDescent="0.2">
      <c r="A1450" s="57">
        <v>42439</v>
      </c>
      <c r="B1450">
        <v>1.0857000000000001</v>
      </c>
    </row>
    <row r="1451" spans="1:2" x14ac:dyDescent="0.2">
      <c r="A1451" s="57">
        <v>42438</v>
      </c>
      <c r="B1451">
        <v>1.0972999999999999</v>
      </c>
    </row>
    <row r="1452" spans="1:2" x14ac:dyDescent="0.2">
      <c r="A1452" s="57">
        <v>42437</v>
      </c>
      <c r="B1452">
        <v>1.1028</v>
      </c>
    </row>
    <row r="1453" spans="1:2" x14ac:dyDescent="0.2">
      <c r="A1453" s="57">
        <v>42436</v>
      </c>
      <c r="B1453">
        <v>1.0952999999999999</v>
      </c>
    </row>
    <row r="1454" spans="1:2" x14ac:dyDescent="0.2">
      <c r="A1454" s="57">
        <v>42435</v>
      </c>
    </row>
    <row r="1455" spans="1:2" x14ac:dyDescent="0.2">
      <c r="A1455" s="57">
        <v>42434</v>
      </c>
    </row>
    <row r="1456" spans="1:2" x14ac:dyDescent="0.2">
      <c r="A1456" s="57">
        <v>42433</v>
      </c>
      <c r="B1456">
        <v>1.097</v>
      </c>
    </row>
    <row r="1457" spans="1:2" x14ac:dyDescent="0.2">
      <c r="A1457" s="57">
        <v>42432</v>
      </c>
      <c r="B1457">
        <v>1.0901000000000001</v>
      </c>
    </row>
    <row r="1458" spans="1:2" x14ac:dyDescent="0.2">
      <c r="A1458" s="57">
        <v>42431</v>
      </c>
      <c r="B1458">
        <v>1.0855999999999999</v>
      </c>
    </row>
    <row r="1459" spans="1:2" x14ac:dyDescent="0.2">
      <c r="A1459" s="57">
        <v>42430</v>
      </c>
      <c r="B1459">
        <v>1.0871999999999999</v>
      </c>
    </row>
    <row r="1460" spans="1:2" x14ac:dyDescent="0.2">
      <c r="A1460" s="57">
        <v>42429</v>
      </c>
      <c r="B1460">
        <v>1.0888</v>
      </c>
    </row>
    <row r="1461" spans="1:2" x14ac:dyDescent="0.2">
      <c r="A1461" s="57">
        <v>42428</v>
      </c>
    </row>
    <row r="1462" spans="1:2" x14ac:dyDescent="0.2">
      <c r="A1462" s="57">
        <v>42427</v>
      </c>
    </row>
    <row r="1463" spans="1:2" x14ac:dyDescent="0.2">
      <c r="A1463" s="57">
        <v>42426</v>
      </c>
      <c r="B1463">
        <v>1.1006</v>
      </c>
    </row>
    <row r="1464" spans="1:2" x14ac:dyDescent="0.2">
      <c r="A1464" s="57">
        <v>42425</v>
      </c>
      <c r="B1464">
        <v>1.1027</v>
      </c>
    </row>
    <row r="1465" spans="1:2" x14ac:dyDescent="0.2">
      <c r="A1465" s="57">
        <v>42424</v>
      </c>
      <c r="B1465">
        <v>1.0981000000000001</v>
      </c>
    </row>
    <row r="1466" spans="1:2" x14ac:dyDescent="0.2">
      <c r="A1466" s="57">
        <v>42423</v>
      </c>
      <c r="B1466">
        <v>1.1002000000000001</v>
      </c>
    </row>
    <row r="1467" spans="1:2" x14ac:dyDescent="0.2">
      <c r="A1467" s="57">
        <v>42422</v>
      </c>
      <c r="B1467">
        <v>1.1026</v>
      </c>
    </row>
    <row r="1468" spans="1:2" x14ac:dyDescent="0.2">
      <c r="A1468" s="57">
        <v>42421</v>
      </c>
    </row>
    <row r="1469" spans="1:2" x14ac:dyDescent="0.2">
      <c r="A1469" s="57">
        <v>42420</v>
      </c>
    </row>
    <row r="1470" spans="1:2" x14ac:dyDescent="0.2">
      <c r="A1470" s="57">
        <v>42419</v>
      </c>
      <c r="B1470">
        <v>1.1095999999999999</v>
      </c>
    </row>
    <row r="1471" spans="1:2" x14ac:dyDescent="0.2">
      <c r="A1471" s="57">
        <v>42418</v>
      </c>
      <c r="B1471">
        <v>1.1084000000000001</v>
      </c>
    </row>
    <row r="1472" spans="1:2" x14ac:dyDescent="0.2">
      <c r="A1472" s="57">
        <v>42417</v>
      </c>
      <c r="B1472">
        <v>1.1135999999999999</v>
      </c>
    </row>
    <row r="1473" spans="1:2" x14ac:dyDescent="0.2">
      <c r="A1473" s="57">
        <v>42416</v>
      </c>
      <c r="B1473">
        <v>1.1166</v>
      </c>
    </row>
    <row r="1474" spans="1:2" x14ac:dyDescent="0.2">
      <c r="A1474" s="57">
        <v>42415</v>
      </c>
      <c r="B1474">
        <v>1.1180000000000001</v>
      </c>
    </row>
    <row r="1475" spans="1:2" x14ac:dyDescent="0.2">
      <c r="A1475" s="57">
        <v>42414</v>
      </c>
    </row>
    <row r="1476" spans="1:2" x14ac:dyDescent="0.2">
      <c r="A1476" s="57">
        <v>42413</v>
      </c>
    </row>
    <row r="1477" spans="1:2" x14ac:dyDescent="0.2">
      <c r="A1477" s="57">
        <v>42412</v>
      </c>
      <c r="B1477">
        <v>1.1274999999999999</v>
      </c>
    </row>
    <row r="1478" spans="1:2" x14ac:dyDescent="0.2">
      <c r="A1478" s="57">
        <v>42411</v>
      </c>
      <c r="B1478">
        <v>1.1347</v>
      </c>
    </row>
    <row r="1479" spans="1:2" x14ac:dyDescent="0.2">
      <c r="A1479" s="57">
        <v>42410</v>
      </c>
      <c r="B1479">
        <v>1.1256999999999999</v>
      </c>
    </row>
    <row r="1480" spans="1:2" x14ac:dyDescent="0.2">
      <c r="A1480" s="57">
        <v>42409</v>
      </c>
      <c r="B1480">
        <v>1.1235999999999999</v>
      </c>
    </row>
    <row r="1481" spans="1:2" x14ac:dyDescent="0.2">
      <c r="A1481" s="57">
        <v>42408</v>
      </c>
      <c r="B1481">
        <v>1.1101000000000001</v>
      </c>
    </row>
    <row r="1482" spans="1:2" x14ac:dyDescent="0.2">
      <c r="A1482" s="57">
        <v>42407</v>
      </c>
    </row>
    <row r="1483" spans="1:2" x14ac:dyDescent="0.2">
      <c r="A1483" s="57">
        <v>42406</v>
      </c>
    </row>
    <row r="1484" spans="1:2" x14ac:dyDescent="0.2">
      <c r="A1484" s="57">
        <v>42405</v>
      </c>
      <c r="B1484">
        <v>1.1202000000000001</v>
      </c>
    </row>
    <row r="1485" spans="1:2" x14ac:dyDescent="0.2">
      <c r="A1485" s="57">
        <v>42404</v>
      </c>
      <c r="B1485">
        <v>1.1206</v>
      </c>
    </row>
    <row r="1486" spans="1:2" x14ac:dyDescent="0.2">
      <c r="A1486" s="57">
        <v>42403</v>
      </c>
      <c r="B1486">
        <v>1.0932999999999999</v>
      </c>
    </row>
    <row r="1487" spans="1:2" x14ac:dyDescent="0.2">
      <c r="A1487" s="57">
        <v>42402</v>
      </c>
      <c r="B1487">
        <v>1.0919000000000001</v>
      </c>
    </row>
    <row r="1488" spans="1:2" x14ac:dyDescent="0.2">
      <c r="A1488" s="57">
        <v>42401</v>
      </c>
      <c r="B1488">
        <v>1.0884</v>
      </c>
    </row>
    <row r="1489" spans="1:2" x14ac:dyDescent="0.2">
      <c r="A1489" s="57">
        <v>42400</v>
      </c>
    </row>
    <row r="1490" spans="1:2" x14ac:dyDescent="0.2">
      <c r="A1490" s="57">
        <v>42399</v>
      </c>
    </row>
    <row r="1491" spans="1:2" x14ac:dyDescent="0.2">
      <c r="A1491" s="57">
        <v>42398</v>
      </c>
      <c r="B1491">
        <v>1.0920000000000001</v>
      </c>
    </row>
    <row r="1492" spans="1:2" x14ac:dyDescent="0.2">
      <c r="A1492" s="57">
        <v>42397</v>
      </c>
      <c r="B1492">
        <v>1.0903</v>
      </c>
    </row>
    <row r="1493" spans="1:2" x14ac:dyDescent="0.2">
      <c r="A1493" s="57">
        <v>42396</v>
      </c>
      <c r="B1493">
        <v>1.0888</v>
      </c>
    </row>
    <row r="1494" spans="1:2" x14ac:dyDescent="0.2">
      <c r="A1494" s="57">
        <v>42395</v>
      </c>
      <c r="B1494">
        <v>1.0837000000000001</v>
      </c>
    </row>
    <row r="1495" spans="1:2" x14ac:dyDescent="0.2">
      <c r="A1495" s="57">
        <v>42394</v>
      </c>
      <c r="B1495">
        <v>1.0814999999999999</v>
      </c>
    </row>
    <row r="1496" spans="1:2" x14ac:dyDescent="0.2">
      <c r="A1496" s="57">
        <v>42393</v>
      </c>
    </row>
    <row r="1497" spans="1:2" x14ac:dyDescent="0.2">
      <c r="A1497" s="57">
        <v>42392</v>
      </c>
    </row>
    <row r="1498" spans="1:2" x14ac:dyDescent="0.2">
      <c r="A1498" s="57">
        <v>42391</v>
      </c>
      <c r="B1498">
        <v>1.0808</v>
      </c>
    </row>
    <row r="1499" spans="1:2" x14ac:dyDescent="0.2">
      <c r="A1499" s="57">
        <v>42390</v>
      </c>
      <c r="B1499">
        <v>1.0892999999999999</v>
      </c>
    </row>
    <row r="1500" spans="1:2" x14ac:dyDescent="0.2">
      <c r="A1500" s="57">
        <v>42389</v>
      </c>
      <c r="B1500">
        <v>1.0907</v>
      </c>
    </row>
    <row r="1501" spans="1:2" x14ac:dyDescent="0.2">
      <c r="A1501" s="57">
        <v>42388</v>
      </c>
      <c r="B1501">
        <v>1.0868</v>
      </c>
    </row>
    <row r="1502" spans="1:2" x14ac:dyDescent="0.2">
      <c r="A1502" s="57">
        <v>42387</v>
      </c>
      <c r="B1502">
        <v>1.0891999999999999</v>
      </c>
    </row>
    <row r="1503" spans="1:2" x14ac:dyDescent="0.2">
      <c r="A1503" s="57">
        <v>42386</v>
      </c>
    </row>
    <row r="1504" spans="1:2" x14ac:dyDescent="0.2">
      <c r="A1504" s="57">
        <v>42385</v>
      </c>
    </row>
    <row r="1505" spans="1:2" x14ac:dyDescent="0.2">
      <c r="A1505" s="57">
        <v>42384</v>
      </c>
      <c r="B1505">
        <v>1.0913999999999999</v>
      </c>
    </row>
    <row r="1506" spans="1:2" x14ac:dyDescent="0.2">
      <c r="A1506" s="57">
        <v>42383</v>
      </c>
      <c r="B1506">
        <v>1.0892999999999999</v>
      </c>
    </row>
    <row r="1507" spans="1:2" x14ac:dyDescent="0.2">
      <c r="A1507" s="57">
        <v>42382</v>
      </c>
      <c r="B1507">
        <v>1.0815999999999999</v>
      </c>
    </row>
    <row r="1508" spans="1:2" x14ac:dyDescent="0.2">
      <c r="A1508" s="57">
        <v>42381</v>
      </c>
      <c r="B1508">
        <v>1.0835999999999999</v>
      </c>
    </row>
    <row r="1509" spans="1:2" x14ac:dyDescent="0.2">
      <c r="A1509" s="57">
        <v>42380</v>
      </c>
      <c r="B1509">
        <v>1.0888</v>
      </c>
    </row>
    <row r="1510" spans="1:2" x14ac:dyDescent="0.2">
      <c r="A1510" s="57">
        <v>42379</v>
      </c>
    </row>
    <row r="1511" spans="1:2" x14ac:dyDescent="0.2">
      <c r="A1511" s="57">
        <v>42378</v>
      </c>
    </row>
    <row r="1512" spans="1:2" x14ac:dyDescent="0.2">
      <c r="A1512" s="57">
        <v>42377</v>
      </c>
      <c r="B1512">
        <v>1.0861000000000001</v>
      </c>
    </row>
    <row r="1513" spans="1:2" x14ac:dyDescent="0.2">
      <c r="A1513" s="57">
        <v>42376</v>
      </c>
      <c r="B1513">
        <v>1.0868</v>
      </c>
    </row>
    <row r="1514" spans="1:2" x14ac:dyDescent="0.2">
      <c r="A1514" s="57">
        <v>42375</v>
      </c>
      <c r="B1514">
        <v>1.0742</v>
      </c>
    </row>
    <row r="1515" spans="1:2" x14ac:dyDescent="0.2">
      <c r="A1515" s="57">
        <v>42374</v>
      </c>
      <c r="B1515">
        <v>1.0746</v>
      </c>
    </row>
    <row r="1516" spans="1:2" x14ac:dyDescent="0.2">
      <c r="A1516" s="57">
        <v>42373</v>
      </c>
      <c r="B1516">
        <v>1.0898000000000001</v>
      </c>
    </row>
    <row r="1517" spans="1:2" x14ac:dyDescent="0.2">
      <c r="A1517" s="57">
        <v>42372</v>
      </c>
    </row>
    <row r="1518" spans="1:2" x14ac:dyDescent="0.2">
      <c r="A1518" s="57">
        <v>42371</v>
      </c>
    </row>
    <row r="1519" spans="1:2" x14ac:dyDescent="0.2">
      <c r="A1519" s="57">
        <v>42370</v>
      </c>
    </row>
    <row r="1520" spans="1:2" x14ac:dyDescent="0.2">
      <c r="A1520" s="57">
        <v>42369</v>
      </c>
      <c r="B1520">
        <v>1.0887</v>
      </c>
    </row>
    <row r="1521" spans="1:2" x14ac:dyDescent="0.2">
      <c r="A1521" s="57">
        <v>42368</v>
      </c>
      <c r="B1521">
        <v>1.0926</v>
      </c>
    </row>
    <row r="1522" spans="1:2" x14ac:dyDescent="0.2">
      <c r="A1522" s="57">
        <v>42367</v>
      </c>
      <c r="B1522">
        <v>1.0952</v>
      </c>
    </row>
    <row r="1523" spans="1:2" x14ac:dyDescent="0.2">
      <c r="A1523" s="57">
        <v>42366</v>
      </c>
      <c r="B1523">
        <v>1.0962000000000001</v>
      </c>
    </row>
    <row r="1524" spans="1:2" x14ac:dyDescent="0.2">
      <c r="A1524" s="57">
        <v>42365</v>
      </c>
    </row>
    <row r="1525" spans="1:2" x14ac:dyDescent="0.2">
      <c r="A1525" s="57">
        <v>42364</v>
      </c>
    </row>
    <row r="1526" spans="1:2" x14ac:dyDescent="0.2">
      <c r="A1526" s="57">
        <v>42363</v>
      </c>
    </row>
    <row r="1527" spans="1:2" x14ac:dyDescent="0.2">
      <c r="A1527" s="57">
        <v>42362</v>
      </c>
      <c r="B1527">
        <v>1.0947</v>
      </c>
    </row>
    <row r="1528" spans="1:2" x14ac:dyDescent="0.2">
      <c r="A1528" s="57">
        <v>42361</v>
      </c>
      <c r="B1528">
        <v>1.0915999999999999</v>
      </c>
    </row>
    <row r="1529" spans="1:2" x14ac:dyDescent="0.2">
      <c r="A1529" s="57">
        <v>42360</v>
      </c>
      <c r="B1529">
        <v>1.0952</v>
      </c>
    </row>
    <row r="1530" spans="1:2" x14ac:dyDescent="0.2">
      <c r="A1530" s="57">
        <v>42359</v>
      </c>
      <c r="B1530">
        <v>1.087</v>
      </c>
    </row>
    <row r="1531" spans="1:2" x14ac:dyDescent="0.2">
      <c r="A1531" s="57">
        <v>42358</v>
      </c>
    </row>
    <row r="1532" spans="1:2" x14ac:dyDescent="0.2">
      <c r="A1532" s="57">
        <v>42357</v>
      </c>
    </row>
    <row r="1533" spans="1:2" x14ac:dyDescent="0.2">
      <c r="A1533" s="57">
        <v>42356</v>
      </c>
      <c r="B1533">
        <v>1.0835999999999999</v>
      </c>
    </row>
    <row r="1534" spans="1:2" x14ac:dyDescent="0.2">
      <c r="A1534" s="57">
        <v>42355</v>
      </c>
      <c r="B1534">
        <v>1.0841000000000001</v>
      </c>
    </row>
    <row r="1535" spans="1:2" x14ac:dyDescent="0.2">
      <c r="A1535" s="57">
        <v>42354</v>
      </c>
      <c r="B1535">
        <v>1.0932999999999999</v>
      </c>
    </row>
    <row r="1536" spans="1:2" x14ac:dyDescent="0.2">
      <c r="A1536" s="57">
        <v>42353</v>
      </c>
      <c r="B1536">
        <v>1.099</v>
      </c>
    </row>
    <row r="1537" spans="1:2" x14ac:dyDescent="0.2">
      <c r="A1537" s="57">
        <v>42352</v>
      </c>
      <c r="B1537">
        <v>1.0983000000000001</v>
      </c>
    </row>
    <row r="1538" spans="1:2" x14ac:dyDescent="0.2">
      <c r="A1538" s="57">
        <v>42351</v>
      </c>
    </row>
    <row r="1539" spans="1:2" x14ac:dyDescent="0.2">
      <c r="A1539" s="57">
        <v>42350</v>
      </c>
    </row>
    <row r="1540" spans="1:2" x14ac:dyDescent="0.2">
      <c r="A1540" s="57">
        <v>42349</v>
      </c>
      <c r="B1540">
        <v>1.095</v>
      </c>
    </row>
    <row r="1541" spans="1:2" x14ac:dyDescent="0.2">
      <c r="A1541" s="57">
        <v>42348</v>
      </c>
      <c r="B1541">
        <v>1.0943000000000001</v>
      </c>
    </row>
    <row r="1542" spans="1:2" x14ac:dyDescent="0.2">
      <c r="A1542" s="57">
        <v>42347</v>
      </c>
      <c r="B1542">
        <v>1.0941000000000001</v>
      </c>
    </row>
    <row r="1543" spans="1:2" x14ac:dyDescent="0.2">
      <c r="A1543" s="57">
        <v>42346</v>
      </c>
      <c r="B1543">
        <v>1.0874999999999999</v>
      </c>
    </row>
    <row r="1544" spans="1:2" x14ac:dyDescent="0.2">
      <c r="A1544" s="57">
        <v>42345</v>
      </c>
      <c r="B1544">
        <v>1.0809</v>
      </c>
    </row>
    <row r="1545" spans="1:2" x14ac:dyDescent="0.2">
      <c r="A1545" s="57">
        <v>42344</v>
      </c>
    </row>
    <row r="1546" spans="1:2" x14ac:dyDescent="0.2">
      <c r="A1546" s="57">
        <v>42343</v>
      </c>
    </row>
    <row r="1547" spans="1:2" x14ac:dyDescent="0.2">
      <c r="A1547" s="57">
        <v>42342</v>
      </c>
      <c r="B1547">
        <v>1.0902000000000001</v>
      </c>
    </row>
    <row r="1548" spans="1:2" x14ac:dyDescent="0.2">
      <c r="A1548" s="57">
        <v>42341</v>
      </c>
      <c r="B1548">
        <v>1.0670999999999999</v>
      </c>
    </row>
    <row r="1549" spans="1:2" x14ac:dyDescent="0.2">
      <c r="A1549" s="57">
        <v>42340</v>
      </c>
      <c r="B1549">
        <v>1.0611999999999999</v>
      </c>
    </row>
    <row r="1550" spans="1:2" x14ac:dyDescent="0.2">
      <c r="A1550" s="57">
        <v>42339</v>
      </c>
      <c r="B1550">
        <v>1.06</v>
      </c>
    </row>
    <row r="1551" spans="1:2" x14ac:dyDescent="0.2">
      <c r="A1551" s="57">
        <v>42338</v>
      </c>
      <c r="B1551">
        <v>1.0579000000000001</v>
      </c>
    </row>
    <row r="1552" spans="1:2" x14ac:dyDescent="0.2">
      <c r="A1552" s="57">
        <v>42337</v>
      </c>
    </row>
    <row r="1553" spans="1:2" x14ac:dyDescent="0.2">
      <c r="A1553" s="57">
        <v>42336</v>
      </c>
    </row>
    <row r="1554" spans="1:2" x14ac:dyDescent="0.2">
      <c r="A1554" s="57">
        <v>42335</v>
      </c>
      <c r="B1554">
        <v>1.0580000000000001</v>
      </c>
    </row>
    <row r="1555" spans="1:2" x14ac:dyDescent="0.2">
      <c r="A1555" s="57">
        <v>42334</v>
      </c>
      <c r="B1555">
        <v>1.0611999999999999</v>
      </c>
    </row>
    <row r="1556" spans="1:2" x14ac:dyDescent="0.2">
      <c r="A1556" s="57">
        <v>42333</v>
      </c>
      <c r="B1556">
        <v>1.0586</v>
      </c>
    </row>
    <row r="1557" spans="1:2" x14ac:dyDescent="0.2">
      <c r="A1557" s="57">
        <v>42332</v>
      </c>
      <c r="B1557">
        <v>1.0650999999999999</v>
      </c>
    </row>
    <row r="1558" spans="1:2" x14ac:dyDescent="0.2">
      <c r="A1558" s="57">
        <v>42331</v>
      </c>
      <c r="B1558">
        <v>1.0630999999999999</v>
      </c>
    </row>
    <row r="1559" spans="1:2" x14ac:dyDescent="0.2">
      <c r="A1559" s="57">
        <v>42330</v>
      </c>
    </row>
    <row r="1560" spans="1:2" x14ac:dyDescent="0.2">
      <c r="A1560" s="57">
        <v>42329</v>
      </c>
    </row>
    <row r="1561" spans="1:2" x14ac:dyDescent="0.2">
      <c r="A1561" s="57">
        <v>42328</v>
      </c>
      <c r="B1561">
        <v>1.0688</v>
      </c>
    </row>
    <row r="1562" spans="1:2" x14ac:dyDescent="0.2">
      <c r="A1562" s="57">
        <v>42327</v>
      </c>
      <c r="B1562">
        <v>1.0687</v>
      </c>
    </row>
    <row r="1563" spans="1:2" x14ac:dyDescent="0.2">
      <c r="A1563" s="57">
        <v>42326</v>
      </c>
      <c r="B1563">
        <v>1.0666</v>
      </c>
    </row>
    <row r="1564" spans="1:2" x14ac:dyDescent="0.2">
      <c r="A1564" s="57">
        <v>42325</v>
      </c>
      <c r="B1564">
        <v>1.0669999999999999</v>
      </c>
    </row>
    <row r="1565" spans="1:2" x14ac:dyDescent="0.2">
      <c r="A1565" s="57">
        <v>42324</v>
      </c>
      <c r="B1565">
        <v>1.0723</v>
      </c>
    </row>
    <row r="1566" spans="1:2" x14ac:dyDescent="0.2">
      <c r="A1566" s="57">
        <v>42323</v>
      </c>
    </row>
    <row r="1567" spans="1:2" x14ac:dyDescent="0.2">
      <c r="A1567" s="57">
        <v>42322</v>
      </c>
    </row>
    <row r="1568" spans="1:2" x14ac:dyDescent="0.2">
      <c r="A1568" s="57">
        <v>42321</v>
      </c>
      <c r="B1568">
        <v>1.0764</v>
      </c>
    </row>
    <row r="1569" spans="1:2" x14ac:dyDescent="0.2">
      <c r="A1569" s="57">
        <v>42320</v>
      </c>
      <c r="B1569">
        <v>1.0726</v>
      </c>
    </row>
    <row r="1570" spans="1:2" x14ac:dyDescent="0.2">
      <c r="A1570" s="57">
        <v>42319</v>
      </c>
      <c r="B1570">
        <v>1.0716000000000001</v>
      </c>
    </row>
    <row r="1571" spans="1:2" x14ac:dyDescent="0.2">
      <c r="A1571" s="57">
        <v>42318</v>
      </c>
      <c r="B1571">
        <v>1.0710999999999999</v>
      </c>
    </row>
    <row r="1572" spans="1:2" x14ac:dyDescent="0.2">
      <c r="A1572" s="57">
        <v>42317</v>
      </c>
      <c r="B1572">
        <v>1.0775999999999999</v>
      </c>
    </row>
    <row r="1573" spans="1:2" x14ac:dyDescent="0.2">
      <c r="A1573" s="57">
        <v>42316</v>
      </c>
    </row>
    <row r="1574" spans="1:2" x14ac:dyDescent="0.2">
      <c r="A1574" s="57">
        <v>42315</v>
      </c>
    </row>
    <row r="1575" spans="1:2" x14ac:dyDescent="0.2">
      <c r="A1575" s="57">
        <v>42314</v>
      </c>
      <c r="B1575">
        <v>1.0864</v>
      </c>
    </row>
    <row r="1576" spans="1:2" x14ac:dyDescent="0.2">
      <c r="A1576" s="57">
        <v>42313</v>
      </c>
      <c r="B1576">
        <v>1.0883</v>
      </c>
    </row>
    <row r="1577" spans="1:2" x14ac:dyDescent="0.2">
      <c r="A1577" s="57">
        <v>42312</v>
      </c>
      <c r="B1577">
        <v>1.0934999999999999</v>
      </c>
    </row>
    <row r="1578" spans="1:2" x14ac:dyDescent="0.2">
      <c r="A1578" s="57">
        <v>42311</v>
      </c>
      <c r="B1578">
        <v>1.0975999999999999</v>
      </c>
    </row>
    <row r="1579" spans="1:2" x14ac:dyDescent="0.2">
      <c r="A1579" s="57">
        <v>42310</v>
      </c>
      <c r="B1579">
        <v>1.1032</v>
      </c>
    </row>
    <row r="1580" spans="1:2" x14ac:dyDescent="0.2">
      <c r="A1580" s="57">
        <v>42309</v>
      </c>
    </row>
    <row r="1581" spans="1:2" x14ac:dyDescent="0.2">
      <c r="A1581" s="57">
        <v>42308</v>
      </c>
    </row>
    <row r="1582" spans="1:2" x14ac:dyDescent="0.2">
      <c r="A1582" s="57">
        <v>42307</v>
      </c>
      <c r="B1582">
        <v>1.1016999999999999</v>
      </c>
    </row>
    <row r="1583" spans="1:2" x14ac:dyDescent="0.2">
      <c r="A1583" s="57">
        <v>42306</v>
      </c>
      <c r="B1583">
        <v>1.093</v>
      </c>
    </row>
    <row r="1584" spans="1:2" x14ac:dyDescent="0.2">
      <c r="A1584" s="57">
        <v>42305</v>
      </c>
      <c r="B1584">
        <v>1.1085</v>
      </c>
    </row>
    <row r="1585" spans="1:2" x14ac:dyDescent="0.2">
      <c r="A1585" s="57">
        <v>42304</v>
      </c>
      <c r="B1585">
        <v>1.1061000000000001</v>
      </c>
    </row>
    <row r="1586" spans="1:2" x14ac:dyDescent="0.2">
      <c r="A1586" s="57">
        <v>42303</v>
      </c>
      <c r="B1586">
        <v>1.1011</v>
      </c>
    </row>
    <row r="1587" spans="1:2" x14ac:dyDescent="0.2">
      <c r="A1587" s="57">
        <v>42302</v>
      </c>
    </row>
    <row r="1588" spans="1:2" x14ac:dyDescent="0.2">
      <c r="A1588" s="57">
        <v>42301</v>
      </c>
    </row>
    <row r="1589" spans="1:2" x14ac:dyDescent="0.2">
      <c r="A1589" s="57">
        <v>42300</v>
      </c>
      <c r="B1589">
        <v>1.1084000000000001</v>
      </c>
    </row>
    <row r="1590" spans="1:2" x14ac:dyDescent="0.2">
      <c r="A1590" s="57">
        <v>42299</v>
      </c>
      <c r="B1590">
        <v>1.1313</v>
      </c>
    </row>
    <row r="1591" spans="1:2" x14ac:dyDescent="0.2">
      <c r="A1591" s="57">
        <v>42298</v>
      </c>
      <c r="B1591">
        <v>1.1354</v>
      </c>
    </row>
    <row r="1592" spans="1:2" x14ac:dyDescent="0.2">
      <c r="A1592" s="57">
        <v>42297</v>
      </c>
      <c r="B1592">
        <v>1.1373</v>
      </c>
    </row>
    <row r="1593" spans="1:2" x14ac:dyDescent="0.2">
      <c r="A1593" s="57">
        <v>42296</v>
      </c>
      <c r="B1593">
        <v>1.1333</v>
      </c>
    </row>
    <row r="1594" spans="1:2" x14ac:dyDescent="0.2">
      <c r="A1594" s="57">
        <v>42295</v>
      </c>
    </row>
    <row r="1595" spans="1:2" x14ac:dyDescent="0.2">
      <c r="A1595" s="57">
        <v>42294</v>
      </c>
    </row>
    <row r="1596" spans="1:2" x14ac:dyDescent="0.2">
      <c r="A1596" s="57">
        <v>42293</v>
      </c>
      <c r="B1596">
        <v>1.1359999999999999</v>
      </c>
    </row>
    <row r="1597" spans="1:2" x14ac:dyDescent="0.2">
      <c r="A1597" s="57">
        <v>42292</v>
      </c>
      <c r="B1597">
        <v>1.1438999999999999</v>
      </c>
    </row>
    <row r="1598" spans="1:2" x14ac:dyDescent="0.2">
      <c r="A1598" s="57">
        <v>42291</v>
      </c>
      <c r="B1598">
        <v>1.141</v>
      </c>
    </row>
    <row r="1599" spans="1:2" x14ac:dyDescent="0.2">
      <c r="A1599" s="57">
        <v>42290</v>
      </c>
      <c r="B1599">
        <v>1.1374</v>
      </c>
    </row>
    <row r="1600" spans="1:2" x14ac:dyDescent="0.2">
      <c r="A1600" s="57">
        <v>42289</v>
      </c>
      <c r="B1600">
        <v>1.1373</v>
      </c>
    </row>
    <row r="1601" spans="1:2" x14ac:dyDescent="0.2">
      <c r="A1601" s="57">
        <v>42288</v>
      </c>
    </row>
    <row r="1602" spans="1:2" x14ac:dyDescent="0.2">
      <c r="A1602" s="57">
        <v>42287</v>
      </c>
    </row>
    <row r="1603" spans="1:2" x14ac:dyDescent="0.2">
      <c r="A1603" s="57">
        <v>42286</v>
      </c>
      <c r="B1603">
        <v>1.1362000000000001</v>
      </c>
    </row>
    <row r="1604" spans="1:2" x14ac:dyDescent="0.2">
      <c r="A1604" s="57">
        <v>42285</v>
      </c>
      <c r="B1604">
        <v>1.1254</v>
      </c>
    </row>
    <row r="1605" spans="1:2" x14ac:dyDescent="0.2">
      <c r="A1605" s="57">
        <v>42284</v>
      </c>
      <c r="B1605">
        <v>1.1266</v>
      </c>
    </row>
    <row r="1606" spans="1:2" x14ac:dyDescent="0.2">
      <c r="A1606" s="57">
        <v>42283</v>
      </c>
      <c r="B1606">
        <v>1.1224000000000001</v>
      </c>
    </row>
    <row r="1607" spans="1:2" x14ac:dyDescent="0.2">
      <c r="A1607" s="57">
        <v>42282</v>
      </c>
      <c r="B1607">
        <v>1.1235999999999999</v>
      </c>
    </row>
    <row r="1608" spans="1:2" x14ac:dyDescent="0.2">
      <c r="A1608" s="57">
        <v>42281</v>
      </c>
    </row>
    <row r="1609" spans="1:2" x14ac:dyDescent="0.2">
      <c r="A1609" s="57">
        <v>42280</v>
      </c>
    </row>
    <row r="1610" spans="1:2" x14ac:dyDescent="0.2">
      <c r="A1610" s="57">
        <v>42279</v>
      </c>
      <c r="B1610">
        <v>1.1160000000000001</v>
      </c>
    </row>
    <row r="1611" spans="1:2" x14ac:dyDescent="0.2">
      <c r="A1611" s="57">
        <v>42278</v>
      </c>
      <c r="B1611">
        <v>1.1153</v>
      </c>
    </row>
    <row r="1612" spans="1:2" x14ac:dyDescent="0.2">
      <c r="A1612" s="57">
        <v>42277</v>
      </c>
      <c r="B1612">
        <v>1.1203000000000001</v>
      </c>
    </row>
    <row r="1613" spans="1:2" x14ac:dyDescent="0.2">
      <c r="A1613" s="57">
        <v>42276</v>
      </c>
      <c r="B1613">
        <v>1.1204000000000001</v>
      </c>
    </row>
    <row r="1614" spans="1:2" x14ac:dyDescent="0.2">
      <c r="A1614" s="57">
        <v>42275</v>
      </c>
      <c r="B1614">
        <v>1.117</v>
      </c>
    </row>
    <row r="1615" spans="1:2" x14ac:dyDescent="0.2">
      <c r="A1615" s="57">
        <v>42274</v>
      </c>
    </row>
    <row r="1616" spans="1:2" x14ac:dyDescent="0.2">
      <c r="A1616" s="57">
        <v>42273</v>
      </c>
    </row>
    <row r="1617" spans="1:2" x14ac:dyDescent="0.2">
      <c r="A1617" s="57">
        <v>42272</v>
      </c>
      <c r="B1617">
        <v>1.1151</v>
      </c>
    </row>
    <row r="1618" spans="1:2" x14ac:dyDescent="0.2">
      <c r="A1618" s="57">
        <v>42271</v>
      </c>
      <c r="B1618">
        <v>1.1241000000000001</v>
      </c>
    </row>
    <row r="1619" spans="1:2" x14ac:dyDescent="0.2">
      <c r="A1619" s="57">
        <v>42270</v>
      </c>
      <c r="B1619">
        <v>1.115</v>
      </c>
    </row>
    <row r="1620" spans="1:2" x14ac:dyDescent="0.2">
      <c r="A1620" s="57">
        <v>42269</v>
      </c>
      <c r="B1620">
        <v>1.1154999999999999</v>
      </c>
    </row>
    <row r="1621" spans="1:2" x14ac:dyDescent="0.2">
      <c r="A1621" s="57">
        <v>42268</v>
      </c>
      <c r="B1621">
        <v>1.125</v>
      </c>
    </row>
    <row r="1622" spans="1:2" x14ac:dyDescent="0.2">
      <c r="A1622" s="57">
        <v>42267</v>
      </c>
    </row>
    <row r="1623" spans="1:2" x14ac:dyDescent="0.2">
      <c r="A1623" s="57">
        <v>42266</v>
      </c>
    </row>
    <row r="1624" spans="1:2" x14ac:dyDescent="0.2">
      <c r="A1624" s="57">
        <v>42265</v>
      </c>
      <c r="B1624">
        <v>1.1418999999999999</v>
      </c>
    </row>
    <row r="1625" spans="1:2" x14ac:dyDescent="0.2">
      <c r="A1625" s="57">
        <v>42264</v>
      </c>
      <c r="B1625">
        <v>1.1312</v>
      </c>
    </row>
    <row r="1626" spans="1:2" x14ac:dyDescent="0.2">
      <c r="A1626" s="57">
        <v>42263</v>
      </c>
      <c r="B1626">
        <v>1.1228</v>
      </c>
    </row>
    <row r="1627" spans="1:2" x14ac:dyDescent="0.2">
      <c r="A1627" s="57">
        <v>42262</v>
      </c>
      <c r="B1627">
        <v>1.1319999999999999</v>
      </c>
    </row>
    <row r="1628" spans="1:2" x14ac:dyDescent="0.2">
      <c r="A1628" s="57">
        <v>42261</v>
      </c>
      <c r="B1628">
        <v>1.1305000000000001</v>
      </c>
    </row>
    <row r="1629" spans="1:2" x14ac:dyDescent="0.2">
      <c r="A1629" s="57">
        <v>42260</v>
      </c>
    </row>
    <row r="1630" spans="1:2" x14ac:dyDescent="0.2">
      <c r="A1630" s="57">
        <v>42259</v>
      </c>
    </row>
    <row r="1631" spans="1:2" x14ac:dyDescent="0.2">
      <c r="A1631" s="57">
        <v>42258</v>
      </c>
      <c r="B1631">
        <v>1.1268</v>
      </c>
    </row>
    <row r="1632" spans="1:2" x14ac:dyDescent="0.2">
      <c r="A1632" s="57">
        <v>42257</v>
      </c>
      <c r="B1632">
        <v>1.1185</v>
      </c>
    </row>
    <row r="1633" spans="1:2" x14ac:dyDescent="0.2">
      <c r="A1633" s="57">
        <v>42256</v>
      </c>
      <c r="B1633">
        <v>1.1138999999999999</v>
      </c>
    </row>
    <row r="1634" spans="1:2" x14ac:dyDescent="0.2">
      <c r="A1634" s="57">
        <v>42255</v>
      </c>
      <c r="B1634">
        <v>1.1162000000000001</v>
      </c>
    </row>
    <row r="1635" spans="1:2" x14ac:dyDescent="0.2">
      <c r="A1635" s="57">
        <v>42254</v>
      </c>
      <c r="B1635">
        <v>1.1146</v>
      </c>
    </row>
    <row r="1636" spans="1:2" x14ac:dyDescent="0.2">
      <c r="A1636" s="57">
        <v>42253</v>
      </c>
    </row>
    <row r="1637" spans="1:2" x14ac:dyDescent="0.2">
      <c r="A1637" s="57">
        <v>42252</v>
      </c>
    </row>
    <row r="1638" spans="1:2" x14ac:dyDescent="0.2">
      <c r="A1638" s="57">
        <v>42251</v>
      </c>
      <c r="B1638">
        <v>1.1137999999999999</v>
      </c>
    </row>
    <row r="1639" spans="1:2" x14ac:dyDescent="0.2">
      <c r="A1639" s="57">
        <v>42250</v>
      </c>
      <c r="B1639">
        <v>1.1229</v>
      </c>
    </row>
    <row r="1640" spans="1:2" x14ac:dyDescent="0.2">
      <c r="A1640" s="57">
        <v>42249</v>
      </c>
      <c r="B1640">
        <v>1.1254999999999999</v>
      </c>
    </row>
    <row r="1641" spans="1:2" x14ac:dyDescent="0.2">
      <c r="A1641" s="57">
        <v>42248</v>
      </c>
      <c r="B1641">
        <v>1.1235999999999999</v>
      </c>
    </row>
    <row r="1642" spans="1:2" x14ac:dyDescent="0.2">
      <c r="A1642" s="57">
        <v>42247</v>
      </c>
      <c r="B1642">
        <v>1.1214999999999999</v>
      </c>
    </row>
    <row r="1643" spans="1:2" x14ac:dyDescent="0.2">
      <c r="A1643" s="57">
        <v>42246</v>
      </c>
    </row>
    <row r="1644" spans="1:2" x14ac:dyDescent="0.2">
      <c r="A1644" s="57">
        <v>42245</v>
      </c>
    </row>
    <row r="1645" spans="1:2" x14ac:dyDescent="0.2">
      <c r="A1645" s="57">
        <v>42244</v>
      </c>
      <c r="B1645">
        <v>1.1268</v>
      </c>
    </row>
    <row r="1646" spans="1:2" x14ac:dyDescent="0.2">
      <c r="A1646" s="57">
        <v>42243</v>
      </c>
      <c r="B1646">
        <v>1.1284000000000001</v>
      </c>
    </row>
    <row r="1647" spans="1:2" x14ac:dyDescent="0.2">
      <c r="A1647" s="57">
        <v>42242</v>
      </c>
      <c r="B1647">
        <v>1.1402000000000001</v>
      </c>
    </row>
    <row r="1648" spans="1:2" x14ac:dyDescent="0.2">
      <c r="A1648" s="57">
        <v>42241</v>
      </c>
      <c r="B1648">
        <v>1.1506000000000001</v>
      </c>
    </row>
    <row r="1649" spans="1:2" x14ac:dyDescent="0.2">
      <c r="A1649" s="57">
        <v>42240</v>
      </c>
      <c r="B1649">
        <v>1.1496999999999999</v>
      </c>
    </row>
    <row r="1650" spans="1:2" x14ac:dyDescent="0.2">
      <c r="A1650" s="57">
        <v>42239</v>
      </c>
    </row>
    <row r="1651" spans="1:2" x14ac:dyDescent="0.2">
      <c r="A1651" s="57">
        <v>42238</v>
      </c>
    </row>
    <row r="1652" spans="1:2" x14ac:dyDescent="0.2">
      <c r="A1652" s="57">
        <v>42237</v>
      </c>
      <c r="B1652">
        <v>1.1281000000000001</v>
      </c>
    </row>
    <row r="1653" spans="1:2" x14ac:dyDescent="0.2">
      <c r="A1653" s="57">
        <v>42236</v>
      </c>
      <c r="B1653">
        <v>1.1183000000000001</v>
      </c>
    </row>
    <row r="1654" spans="1:2" x14ac:dyDescent="0.2">
      <c r="A1654" s="57">
        <v>42235</v>
      </c>
      <c r="B1654">
        <v>1.1041000000000001</v>
      </c>
    </row>
    <row r="1655" spans="1:2" x14ac:dyDescent="0.2">
      <c r="A1655" s="57">
        <v>42234</v>
      </c>
      <c r="B1655">
        <v>1.1060000000000001</v>
      </c>
    </row>
    <row r="1656" spans="1:2" x14ac:dyDescent="0.2">
      <c r="A1656" s="57">
        <v>42233</v>
      </c>
      <c r="B1656">
        <v>1.1100000000000001</v>
      </c>
    </row>
    <row r="1657" spans="1:2" x14ac:dyDescent="0.2">
      <c r="A1657" s="57">
        <v>42232</v>
      </c>
    </row>
    <row r="1658" spans="1:2" x14ac:dyDescent="0.2">
      <c r="A1658" s="57">
        <v>42231</v>
      </c>
    </row>
    <row r="1659" spans="1:2" x14ac:dyDescent="0.2">
      <c r="A1659" s="57">
        <v>42230</v>
      </c>
      <c r="B1659">
        <v>1.1171</v>
      </c>
    </row>
    <row r="1660" spans="1:2" x14ac:dyDescent="0.2">
      <c r="A1660" s="57">
        <v>42229</v>
      </c>
      <c r="B1660">
        <v>1.1109</v>
      </c>
    </row>
    <row r="1661" spans="1:2" x14ac:dyDescent="0.2">
      <c r="A1661" s="57">
        <v>42228</v>
      </c>
      <c r="B1661">
        <v>1.1154999999999999</v>
      </c>
    </row>
    <row r="1662" spans="1:2" x14ac:dyDescent="0.2">
      <c r="A1662" s="57">
        <v>42227</v>
      </c>
      <c r="B1662">
        <v>1.1054999999999999</v>
      </c>
    </row>
    <row r="1663" spans="1:2" x14ac:dyDescent="0.2">
      <c r="A1663" s="57">
        <v>42226</v>
      </c>
      <c r="B1663">
        <v>1.0960000000000001</v>
      </c>
    </row>
    <row r="1664" spans="1:2" x14ac:dyDescent="0.2">
      <c r="A1664" s="57">
        <v>42225</v>
      </c>
    </row>
    <row r="1665" spans="1:2" x14ac:dyDescent="0.2">
      <c r="A1665" s="57">
        <v>42224</v>
      </c>
    </row>
    <row r="1666" spans="1:2" x14ac:dyDescent="0.2">
      <c r="A1666" s="57">
        <v>42223</v>
      </c>
      <c r="B1666">
        <v>1.0941000000000001</v>
      </c>
    </row>
    <row r="1667" spans="1:2" x14ac:dyDescent="0.2">
      <c r="A1667" s="57">
        <v>42222</v>
      </c>
      <c r="B1667">
        <v>1.0885</v>
      </c>
    </row>
    <row r="1668" spans="1:2" x14ac:dyDescent="0.2">
      <c r="A1668" s="57">
        <v>42221</v>
      </c>
      <c r="B1668">
        <v>1.0883</v>
      </c>
    </row>
    <row r="1669" spans="1:2" x14ac:dyDescent="0.2">
      <c r="A1669" s="57">
        <v>42220</v>
      </c>
      <c r="B1669">
        <v>1.0972999999999999</v>
      </c>
    </row>
    <row r="1670" spans="1:2" x14ac:dyDescent="0.2">
      <c r="A1670" s="57">
        <v>42219</v>
      </c>
      <c r="B1670">
        <v>1.0951</v>
      </c>
    </row>
    <row r="1671" spans="1:2" x14ac:dyDescent="0.2">
      <c r="A1671" s="57">
        <v>42218</v>
      </c>
    </row>
    <row r="1672" spans="1:2" x14ac:dyDescent="0.2">
      <c r="A1672" s="57">
        <v>42217</v>
      </c>
    </row>
    <row r="1673" spans="1:2" x14ac:dyDescent="0.2">
      <c r="A1673" s="57">
        <v>42216</v>
      </c>
      <c r="B1673">
        <v>1.0967</v>
      </c>
    </row>
    <row r="1674" spans="1:2" x14ac:dyDescent="0.2">
      <c r="A1674" s="57">
        <v>42215</v>
      </c>
      <c r="B1674">
        <v>1.0954999999999999</v>
      </c>
    </row>
    <row r="1675" spans="1:2" x14ac:dyDescent="0.2">
      <c r="A1675" s="57">
        <v>42214</v>
      </c>
      <c r="B1675">
        <v>1.103</v>
      </c>
    </row>
    <row r="1676" spans="1:2" x14ac:dyDescent="0.2">
      <c r="A1676" s="57">
        <v>42213</v>
      </c>
      <c r="B1676">
        <v>1.1025</v>
      </c>
    </row>
    <row r="1677" spans="1:2" x14ac:dyDescent="0.2">
      <c r="A1677" s="57">
        <v>42212</v>
      </c>
      <c r="B1677">
        <v>1.1057999999999999</v>
      </c>
    </row>
    <row r="1678" spans="1:2" x14ac:dyDescent="0.2">
      <c r="A1678" s="57">
        <v>42211</v>
      </c>
    </row>
    <row r="1679" spans="1:2" x14ac:dyDescent="0.2">
      <c r="A1679" s="57">
        <v>42210</v>
      </c>
    </row>
    <row r="1680" spans="1:2" x14ac:dyDescent="0.2">
      <c r="A1680" s="57">
        <v>42209</v>
      </c>
      <c r="B1680">
        <v>1.0939000000000001</v>
      </c>
    </row>
    <row r="1681" spans="1:2" x14ac:dyDescent="0.2">
      <c r="A1681" s="57">
        <v>42208</v>
      </c>
      <c r="B1681">
        <v>1.0999000000000001</v>
      </c>
    </row>
    <row r="1682" spans="1:2" x14ac:dyDescent="0.2">
      <c r="A1682" s="57">
        <v>42207</v>
      </c>
      <c r="B1682">
        <v>1.0902000000000001</v>
      </c>
    </row>
    <row r="1683" spans="1:2" x14ac:dyDescent="0.2">
      <c r="A1683" s="57">
        <v>42206</v>
      </c>
      <c r="B1683">
        <v>1.0867</v>
      </c>
    </row>
    <row r="1684" spans="1:2" x14ac:dyDescent="0.2">
      <c r="A1684" s="57">
        <v>42205</v>
      </c>
      <c r="B1684">
        <v>1.0851999999999999</v>
      </c>
    </row>
    <row r="1685" spans="1:2" x14ac:dyDescent="0.2">
      <c r="A1685" s="57">
        <v>42204</v>
      </c>
    </row>
    <row r="1686" spans="1:2" x14ac:dyDescent="0.2">
      <c r="A1686" s="57">
        <v>42203</v>
      </c>
    </row>
    <row r="1687" spans="1:2" x14ac:dyDescent="0.2">
      <c r="A1687" s="57">
        <v>42202</v>
      </c>
      <c r="B1687">
        <v>1.0889</v>
      </c>
    </row>
    <row r="1688" spans="1:2" x14ac:dyDescent="0.2">
      <c r="A1688" s="57">
        <v>42201</v>
      </c>
      <c r="B1688">
        <v>1.0867</v>
      </c>
    </row>
    <row r="1689" spans="1:2" x14ac:dyDescent="0.2">
      <c r="A1689" s="57">
        <v>42200</v>
      </c>
      <c r="B1689">
        <v>1.1009</v>
      </c>
    </row>
    <row r="1690" spans="1:2" x14ac:dyDescent="0.2">
      <c r="A1690" s="57">
        <v>42199</v>
      </c>
      <c r="B1690">
        <v>1.1031</v>
      </c>
    </row>
    <row r="1691" spans="1:2" x14ac:dyDescent="0.2">
      <c r="A1691" s="57">
        <v>42198</v>
      </c>
      <c r="B1691">
        <v>1.1049</v>
      </c>
    </row>
    <row r="1692" spans="1:2" x14ac:dyDescent="0.2">
      <c r="A1692" s="57">
        <v>42197</v>
      </c>
    </row>
    <row r="1693" spans="1:2" x14ac:dyDescent="0.2">
      <c r="A1693" s="57">
        <v>42196</v>
      </c>
    </row>
    <row r="1694" spans="1:2" x14ac:dyDescent="0.2">
      <c r="A1694" s="57">
        <v>42195</v>
      </c>
      <c r="B1694">
        <v>1.1185</v>
      </c>
    </row>
    <row r="1695" spans="1:2" x14ac:dyDescent="0.2">
      <c r="A1695" s="57">
        <v>42194</v>
      </c>
      <c r="B1695">
        <v>1.1053999999999999</v>
      </c>
    </row>
    <row r="1696" spans="1:2" x14ac:dyDescent="0.2">
      <c r="A1696" s="57">
        <v>42193</v>
      </c>
      <c r="B1696">
        <v>1.1024</v>
      </c>
    </row>
    <row r="1697" spans="1:2" x14ac:dyDescent="0.2">
      <c r="A1697" s="57">
        <v>42192</v>
      </c>
      <c r="B1697">
        <v>1.0931</v>
      </c>
    </row>
    <row r="1698" spans="1:2" x14ac:dyDescent="0.2">
      <c r="A1698" s="57">
        <v>42191</v>
      </c>
      <c r="B1698">
        <v>1.1008</v>
      </c>
    </row>
    <row r="1699" spans="1:2" x14ac:dyDescent="0.2">
      <c r="A1699" s="57">
        <v>42190</v>
      </c>
    </row>
    <row r="1700" spans="1:2" x14ac:dyDescent="0.2">
      <c r="A1700" s="57">
        <v>42189</v>
      </c>
    </row>
    <row r="1701" spans="1:2" x14ac:dyDescent="0.2">
      <c r="A1701" s="57">
        <v>42188</v>
      </c>
      <c r="B1701">
        <v>1.1095999999999999</v>
      </c>
    </row>
    <row r="1702" spans="1:2" x14ac:dyDescent="0.2">
      <c r="A1702" s="57">
        <v>42187</v>
      </c>
      <c r="B1702">
        <v>1.1066</v>
      </c>
    </row>
    <row r="1703" spans="1:2" x14ac:dyDescent="0.2">
      <c r="A1703" s="57">
        <v>42186</v>
      </c>
      <c r="B1703">
        <v>1.1100000000000001</v>
      </c>
    </row>
    <row r="1704" spans="1:2" x14ac:dyDescent="0.2">
      <c r="A1704" s="57">
        <v>42185</v>
      </c>
      <c r="B1704">
        <v>1.1189</v>
      </c>
    </row>
    <row r="1705" spans="1:2" x14ac:dyDescent="0.2">
      <c r="A1705" s="57">
        <v>42184</v>
      </c>
      <c r="B1705">
        <v>1.1133</v>
      </c>
    </row>
    <row r="1706" spans="1:2" x14ac:dyDescent="0.2">
      <c r="A1706" s="57">
        <v>42183</v>
      </c>
    </row>
    <row r="1707" spans="1:2" x14ac:dyDescent="0.2">
      <c r="A1707" s="57">
        <v>42182</v>
      </c>
    </row>
    <row r="1708" spans="1:2" x14ac:dyDescent="0.2">
      <c r="A1708" s="57">
        <v>42181</v>
      </c>
      <c r="B1708">
        <v>1.1202000000000001</v>
      </c>
    </row>
    <row r="1709" spans="1:2" x14ac:dyDescent="0.2">
      <c r="A1709" s="57">
        <v>42180</v>
      </c>
      <c r="B1709">
        <v>1.1206</v>
      </c>
    </row>
    <row r="1710" spans="1:2" x14ac:dyDescent="0.2">
      <c r="A1710" s="57">
        <v>42179</v>
      </c>
      <c r="B1710">
        <v>1.1213</v>
      </c>
    </row>
    <row r="1711" spans="1:2" x14ac:dyDescent="0.2">
      <c r="A1711" s="57">
        <v>42178</v>
      </c>
      <c r="B1711">
        <v>1.1204000000000001</v>
      </c>
    </row>
    <row r="1712" spans="1:2" x14ac:dyDescent="0.2">
      <c r="A1712" s="57">
        <v>42177</v>
      </c>
      <c r="B1712">
        <v>1.1345000000000001</v>
      </c>
    </row>
    <row r="1713" spans="1:2" x14ac:dyDescent="0.2">
      <c r="A1713" s="57">
        <v>42176</v>
      </c>
    </row>
    <row r="1714" spans="1:2" x14ac:dyDescent="0.2">
      <c r="A1714" s="57">
        <v>42175</v>
      </c>
    </row>
    <row r="1715" spans="1:2" x14ac:dyDescent="0.2">
      <c r="A1715" s="57">
        <v>42174</v>
      </c>
      <c r="B1715">
        <v>1.1298999999999999</v>
      </c>
    </row>
    <row r="1716" spans="1:2" x14ac:dyDescent="0.2">
      <c r="A1716" s="57">
        <v>42173</v>
      </c>
      <c r="B1716">
        <v>1.1404000000000001</v>
      </c>
    </row>
    <row r="1717" spans="1:2" x14ac:dyDescent="0.2">
      <c r="A1717" s="57">
        <v>42172</v>
      </c>
      <c r="B1717">
        <v>1.1278999999999999</v>
      </c>
    </row>
    <row r="1718" spans="1:2" x14ac:dyDescent="0.2">
      <c r="A1718" s="57">
        <v>42171</v>
      </c>
      <c r="B1718">
        <v>1.1214999999999999</v>
      </c>
    </row>
    <row r="1719" spans="1:2" x14ac:dyDescent="0.2">
      <c r="A1719" s="57">
        <v>42170</v>
      </c>
      <c r="B1719">
        <v>1.1217999999999999</v>
      </c>
    </row>
    <row r="1720" spans="1:2" x14ac:dyDescent="0.2">
      <c r="A1720" s="57">
        <v>42169</v>
      </c>
    </row>
    <row r="1721" spans="1:2" x14ac:dyDescent="0.2">
      <c r="A1721" s="57">
        <v>42168</v>
      </c>
    </row>
    <row r="1722" spans="1:2" x14ac:dyDescent="0.2">
      <c r="A1722" s="57">
        <v>42167</v>
      </c>
      <c r="B1722">
        <v>1.1220000000000001</v>
      </c>
    </row>
    <row r="1723" spans="1:2" x14ac:dyDescent="0.2">
      <c r="A1723" s="57">
        <v>42166</v>
      </c>
      <c r="B1723">
        <v>1.1232</v>
      </c>
    </row>
    <row r="1724" spans="1:2" x14ac:dyDescent="0.2">
      <c r="A1724" s="57">
        <v>42165</v>
      </c>
      <c r="B1724">
        <v>1.1278999999999999</v>
      </c>
    </row>
    <row r="1725" spans="1:2" x14ac:dyDescent="0.2">
      <c r="A1725" s="57">
        <v>42164</v>
      </c>
      <c r="B1725">
        <v>1.1249</v>
      </c>
    </row>
    <row r="1726" spans="1:2" x14ac:dyDescent="0.2">
      <c r="A1726" s="57">
        <v>42163</v>
      </c>
      <c r="B1726">
        <v>1.1162000000000001</v>
      </c>
    </row>
    <row r="1727" spans="1:2" x14ac:dyDescent="0.2">
      <c r="A1727" s="57">
        <v>42162</v>
      </c>
    </row>
    <row r="1728" spans="1:2" x14ac:dyDescent="0.2">
      <c r="A1728" s="57">
        <v>42161</v>
      </c>
    </row>
    <row r="1729" spans="1:2" x14ac:dyDescent="0.2">
      <c r="A1729" s="57">
        <v>42160</v>
      </c>
      <c r="B1729">
        <v>1.1217999999999999</v>
      </c>
    </row>
    <row r="1730" spans="1:2" x14ac:dyDescent="0.2">
      <c r="A1730" s="57">
        <v>42159</v>
      </c>
      <c r="B1730">
        <v>1.1316999999999999</v>
      </c>
    </row>
    <row r="1731" spans="1:2" x14ac:dyDescent="0.2">
      <c r="A1731" s="57">
        <v>42158</v>
      </c>
      <c r="B1731">
        <v>1.1133999999999999</v>
      </c>
    </row>
    <row r="1732" spans="1:2" x14ac:dyDescent="0.2">
      <c r="A1732" s="57">
        <v>42157</v>
      </c>
      <c r="B1732">
        <v>1.1029</v>
      </c>
    </row>
    <row r="1733" spans="1:2" x14ac:dyDescent="0.2">
      <c r="A1733" s="57">
        <v>42156</v>
      </c>
      <c r="B1733">
        <v>1.0944</v>
      </c>
    </row>
    <row r="1734" spans="1:2" x14ac:dyDescent="0.2">
      <c r="A1734" s="57">
        <v>42155</v>
      </c>
    </row>
    <row r="1735" spans="1:2" x14ac:dyDescent="0.2">
      <c r="A1735" s="57">
        <v>42154</v>
      </c>
    </row>
    <row r="1736" spans="1:2" x14ac:dyDescent="0.2">
      <c r="A1736" s="57">
        <v>42153</v>
      </c>
      <c r="B1736">
        <v>1.097</v>
      </c>
    </row>
    <row r="1737" spans="1:2" x14ac:dyDescent="0.2">
      <c r="A1737" s="57">
        <v>42152</v>
      </c>
      <c r="B1737">
        <v>1.0895999999999999</v>
      </c>
    </row>
    <row r="1738" spans="1:2" x14ac:dyDescent="0.2">
      <c r="A1738" s="57">
        <v>42151</v>
      </c>
      <c r="B1738">
        <v>1.0863</v>
      </c>
    </row>
    <row r="1739" spans="1:2" x14ac:dyDescent="0.2">
      <c r="A1739" s="57">
        <v>42150</v>
      </c>
      <c r="B1739">
        <v>1.0926</v>
      </c>
    </row>
    <row r="1740" spans="1:2" x14ac:dyDescent="0.2">
      <c r="A1740" s="57">
        <v>42149</v>
      </c>
      <c r="B1740">
        <v>1.0978000000000001</v>
      </c>
    </row>
    <row r="1741" spans="1:2" x14ac:dyDescent="0.2">
      <c r="A1741" s="57">
        <v>42148</v>
      </c>
    </row>
    <row r="1742" spans="1:2" x14ac:dyDescent="0.2">
      <c r="A1742" s="57">
        <v>42147</v>
      </c>
    </row>
    <row r="1743" spans="1:2" x14ac:dyDescent="0.2">
      <c r="A1743" s="57">
        <v>42146</v>
      </c>
      <c r="B1743">
        <v>1.1164000000000001</v>
      </c>
    </row>
    <row r="1744" spans="1:2" x14ac:dyDescent="0.2">
      <c r="A1744" s="57">
        <v>42145</v>
      </c>
      <c r="B1744">
        <v>1.1133</v>
      </c>
    </row>
    <row r="1745" spans="1:2" x14ac:dyDescent="0.2">
      <c r="A1745" s="57">
        <v>42144</v>
      </c>
      <c r="B1745">
        <v>1.1117999999999999</v>
      </c>
    </row>
    <row r="1746" spans="1:2" x14ac:dyDescent="0.2">
      <c r="A1746" s="57">
        <v>42143</v>
      </c>
      <c r="B1746">
        <v>1.1180000000000001</v>
      </c>
    </row>
    <row r="1747" spans="1:2" x14ac:dyDescent="0.2">
      <c r="A1747" s="57">
        <v>42142</v>
      </c>
      <c r="B1747">
        <v>1.1389</v>
      </c>
    </row>
    <row r="1748" spans="1:2" x14ac:dyDescent="0.2">
      <c r="A1748" s="57">
        <v>42141</v>
      </c>
    </row>
    <row r="1749" spans="1:2" x14ac:dyDescent="0.2">
      <c r="A1749" s="57">
        <v>42140</v>
      </c>
    </row>
    <row r="1750" spans="1:2" x14ac:dyDescent="0.2">
      <c r="A1750" s="57">
        <v>42139</v>
      </c>
      <c r="B1750">
        <v>1.1328</v>
      </c>
    </row>
    <row r="1751" spans="1:2" x14ac:dyDescent="0.2">
      <c r="A1751" s="57">
        <v>42138</v>
      </c>
      <c r="B1751">
        <v>1.1418999999999999</v>
      </c>
    </row>
    <row r="1752" spans="1:2" x14ac:dyDescent="0.2">
      <c r="A1752" s="57">
        <v>42137</v>
      </c>
      <c r="B1752">
        <v>1.1221000000000001</v>
      </c>
    </row>
    <row r="1753" spans="1:2" x14ac:dyDescent="0.2">
      <c r="A1753" s="57">
        <v>42136</v>
      </c>
      <c r="B1753">
        <v>1.1238999999999999</v>
      </c>
    </row>
    <row r="1754" spans="1:2" x14ac:dyDescent="0.2">
      <c r="A1754" s="57">
        <v>42135</v>
      </c>
      <c r="B1754">
        <v>1.1142000000000001</v>
      </c>
    </row>
    <row r="1755" spans="1:2" x14ac:dyDescent="0.2">
      <c r="A1755" s="57">
        <v>42134</v>
      </c>
    </row>
    <row r="1756" spans="1:2" x14ac:dyDescent="0.2">
      <c r="A1756" s="57">
        <v>42133</v>
      </c>
    </row>
    <row r="1757" spans="1:2" x14ac:dyDescent="0.2">
      <c r="A1757" s="57">
        <v>42132</v>
      </c>
      <c r="B1757">
        <v>1.1221000000000001</v>
      </c>
    </row>
    <row r="1758" spans="1:2" x14ac:dyDescent="0.2">
      <c r="A1758" s="57">
        <v>42131</v>
      </c>
      <c r="B1758">
        <v>1.1305000000000001</v>
      </c>
    </row>
    <row r="1759" spans="1:2" x14ac:dyDescent="0.2">
      <c r="A1759" s="57">
        <v>42130</v>
      </c>
      <c r="B1759">
        <v>1.123</v>
      </c>
    </row>
    <row r="1760" spans="1:2" x14ac:dyDescent="0.2">
      <c r="A1760" s="57">
        <v>42129</v>
      </c>
      <c r="B1760">
        <v>1.1116999999999999</v>
      </c>
    </row>
    <row r="1761" spans="1:2" x14ac:dyDescent="0.2">
      <c r="A1761" s="57">
        <v>42128</v>
      </c>
      <c r="B1761">
        <v>1.1152</v>
      </c>
    </row>
    <row r="1762" spans="1:2" x14ac:dyDescent="0.2">
      <c r="A1762" s="57">
        <v>42127</v>
      </c>
    </row>
    <row r="1763" spans="1:2" x14ac:dyDescent="0.2">
      <c r="A1763" s="57">
        <v>42126</v>
      </c>
    </row>
    <row r="1764" spans="1:2" x14ac:dyDescent="0.2">
      <c r="A1764" s="57">
        <v>42125</v>
      </c>
    </row>
    <row r="1765" spans="1:2" x14ac:dyDescent="0.2">
      <c r="A1765" s="57">
        <v>42124</v>
      </c>
      <c r="B1765">
        <v>1.1214999999999999</v>
      </c>
    </row>
    <row r="1766" spans="1:2" x14ac:dyDescent="0.2">
      <c r="A1766" s="57">
        <v>42123</v>
      </c>
      <c r="B1766">
        <v>1.1002000000000001</v>
      </c>
    </row>
    <row r="1767" spans="1:2" x14ac:dyDescent="0.2">
      <c r="A1767" s="57">
        <v>42122</v>
      </c>
      <c r="B1767">
        <v>1.0927</v>
      </c>
    </row>
    <row r="1768" spans="1:2" x14ac:dyDescent="0.2">
      <c r="A1768" s="57">
        <v>42121</v>
      </c>
      <c r="B1768">
        <v>1.0822000000000001</v>
      </c>
    </row>
    <row r="1769" spans="1:2" x14ac:dyDescent="0.2">
      <c r="A1769" s="57">
        <v>42120</v>
      </c>
    </row>
    <row r="1770" spans="1:2" x14ac:dyDescent="0.2">
      <c r="A1770" s="57">
        <v>42119</v>
      </c>
    </row>
    <row r="1771" spans="1:2" x14ac:dyDescent="0.2">
      <c r="A1771" s="57">
        <v>42118</v>
      </c>
      <c r="B1771">
        <v>1.0824</v>
      </c>
    </row>
    <row r="1772" spans="1:2" x14ac:dyDescent="0.2">
      <c r="A1772" s="57">
        <v>42117</v>
      </c>
      <c r="B1772">
        <v>1.0771999999999999</v>
      </c>
    </row>
    <row r="1773" spans="1:2" x14ac:dyDescent="0.2">
      <c r="A1773" s="57">
        <v>42116</v>
      </c>
      <c r="B1773">
        <v>1.0743</v>
      </c>
    </row>
    <row r="1774" spans="1:2" x14ac:dyDescent="0.2">
      <c r="A1774" s="57">
        <v>42115</v>
      </c>
      <c r="B1774">
        <v>1.07</v>
      </c>
    </row>
    <row r="1775" spans="1:2" x14ac:dyDescent="0.2">
      <c r="A1775" s="57">
        <v>42114</v>
      </c>
      <c r="B1775">
        <v>1.0723</v>
      </c>
    </row>
    <row r="1776" spans="1:2" x14ac:dyDescent="0.2">
      <c r="A1776" s="57">
        <v>42113</v>
      </c>
    </row>
    <row r="1777" spans="1:2" x14ac:dyDescent="0.2">
      <c r="A1777" s="57">
        <v>42112</v>
      </c>
    </row>
    <row r="1778" spans="1:2" x14ac:dyDescent="0.2">
      <c r="A1778" s="57">
        <v>42111</v>
      </c>
      <c r="B1778">
        <v>1.0813999999999999</v>
      </c>
    </row>
    <row r="1779" spans="1:2" x14ac:dyDescent="0.2">
      <c r="A1779" s="57">
        <v>42110</v>
      </c>
      <c r="B1779">
        <v>1.0710999999999999</v>
      </c>
    </row>
    <row r="1780" spans="1:2" x14ac:dyDescent="0.2">
      <c r="A1780" s="57">
        <v>42109</v>
      </c>
      <c r="B1780">
        <v>1.0579000000000001</v>
      </c>
    </row>
    <row r="1781" spans="1:2" x14ac:dyDescent="0.2">
      <c r="A1781" s="57">
        <v>42108</v>
      </c>
      <c r="B1781">
        <v>1.0564</v>
      </c>
    </row>
    <row r="1782" spans="1:2" x14ac:dyDescent="0.2">
      <c r="A1782" s="57">
        <v>42107</v>
      </c>
      <c r="B1782">
        <v>1.0551999999999999</v>
      </c>
    </row>
    <row r="1783" spans="1:2" x14ac:dyDescent="0.2">
      <c r="A1783" s="57">
        <v>42106</v>
      </c>
    </row>
    <row r="1784" spans="1:2" x14ac:dyDescent="0.2">
      <c r="A1784" s="57">
        <v>42105</v>
      </c>
    </row>
    <row r="1785" spans="1:2" x14ac:dyDescent="0.2">
      <c r="A1785" s="57">
        <v>42104</v>
      </c>
      <c r="B1785">
        <v>1.0569999999999999</v>
      </c>
    </row>
    <row r="1786" spans="1:2" x14ac:dyDescent="0.2">
      <c r="A1786" s="57">
        <v>42103</v>
      </c>
      <c r="B1786">
        <v>1.0773999999999999</v>
      </c>
    </row>
    <row r="1787" spans="1:2" x14ac:dyDescent="0.2">
      <c r="A1787" s="57">
        <v>42102</v>
      </c>
      <c r="B1787">
        <v>1.0862000000000001</v>
      </c>
    </row>
    <row r="1788" spans="1:2" x14ac:dyDescent="0.2">
      <c r="A1788" s="57">
        <v>42101</v>
      </c>
      <c r="B1788">
        <v>1.0847</v>
      </c>
    </row>
    <row r="1789" spans="1:2" x14ac:dyDescent="0.2">
      <c r="A1789" s="57">
        <v>42100</v>
      </c>
    </row>
    <row r="1790" spans="1:2" x14ac:dyDescent="0.2">
      <c r="A1790" s="57">
        <v>42099</v>
      </c>
    </row>
    <row r="1791" spans="1:2" x14ac:dyDescent="0.2">
      <c r="A1791" s="57">
        <v>42098</v>
      </c>
    </row>
    <row r="1792" spans="1:2" x14ac:dyDescent="0.2">
      <c r="A1792" s="57">
        <v>42097</v>
      </c>
    </row>
    <row r="1793" spans="1:2" x14ac:dyDescent="0.2">
      <c r="A1793" s="57">
        <v>42096</v>
      </c>
      <c r="B1793">
        <v>1.083</v>
      </c>
    </row>
    <row r="1794" spans="1:2" x14ac:dyDescent="0.2">
      <c r="A1794" s="57">
        <v>42095</v>
      </c>
      <c r="B1794">
        <v>1.0754999999999999</v>
      </c>
    </row>
    <row r="1795" spans="1:2" x14ac:dyDescent="0.2">
      <c r="A1795" s="57">
        <v>42094</v>
      </c>
      <c r="B1795">
        <v>1.0759000000000001</v>
      </c>
    </row>
    <row r="1796" spans="1:2" x14ac:dyDescent="0.2">
      <c r="A1796" s="57">
        <v>42093</v>
      </c>
      <c r="B1796">
        <v>1.0845</v>
      </c>
    </row>
    <row r="1797" spans="1:2" x14ac:dyDescent="0.2">
      <c r="A1797" s="57">
        <v>42092</v>
      </c>
    </row>
    <row r="1798" spans="1:2" x14ac:dyDescent="0.2">
      <c r="A1798" s="57">
        <v>42091</v>
      </c>
    </row>
    <row r="1799" spans="1:2" x14ac:dyDescent="0.2">
      <c r="A1799" s="57">
        <v>42090</v>
      </c>
      <c r="B1799">
        <v>1.0855999999999999</v>
      </c>
    </row>
    <row r="1800" spans="1:2" x14ac:dyDescent="0.2">
      <c r="A1800" s="57">
        <v>42089</v>
      </c>
      <c r="B1800">
        <v>1.0972999999999999</v>
      </c>
    </row>
    <row r="1801" spans="1:2" x14ac:dyDescent="0.2">
      <c r="A1801" s="57">
        <v>42088</v>
      </c>
      <c r="B1801">
        <v>1.0985</v>
      </c>
    </row>
    <row r="1802" spans="1:2" x14ac:dyDescent="0.2">
      <c r="A1802" s="57">
        <v>42087</v>
      </c>
      <c r="B1802">
        <v>1.095</v>
      </c>
    </row>
    <row r="1803" spans="1:2" x14ac:dyDescent="0.2">
      <c r="A1803" s="57">
        <v>42086</v>
      </c>
      <c r="B1803">
        <v>1.0911999999999999</v>
      </c>
    </row>
    <row r="1804" spans="1:2" x14ac:dyDescent="0.2">
      <c r="A1804" s="57">
        <v>42085</v>
      </c>
    </row>
    <row r="1805" spans="1:2" x14ac:dyDescent="0.2">
      <c r="A1805" s="57">
        <v>42084</v>
      </c>
    </row>
    <row r="1806" spans="1:2" x14ac:dyDescent="0.2">
      <c r="A1806" s="57">
        <v>42083</v>
      </c>
      <c r="B1806">
        <v>1.0775999999999999</v>
      </c>
    </row>
    <row r="1807" spans="1:2" x14ac:dyDescent="0.2">
      <c r="A1807" s="57">
        <v>42082</v>
      </c>
      <c r="B1807">
        <v>1.0677000000000001</v>
      </c>
    </row>
    <row r="1808" spans="1:2" x14ac:dyDescent="0.2">
      <c r="A1808" s="57">
        <v>42081</v>
      </c>
      <c r="B1808">
        <v>1.0591999999999999</v>
      </c>
    </row>
    <row r="1809" spans="1:2" x14ac:dyDescent="0.2">
      <c r="A1809" s="57">
        <v>42080</v>
      </c>
      <c r="B1809">
        <v>1.0634999999999999</v>
      </c>
    </row>
    <row r="1810" spans="1:2" x14ac:dyDescent="0.2">
      <c r="A1810" s="57">
        <v>42079</v>
      </c>
      <c r="B1810">
        <v>1.0557000000000001</v>
      </c>
    </row>
    <row r="1811" spans="1:2" x14ac:dyDescent="0.2">
      <c r="A1811" s="57">
        <v>42078</v>
      </c>
    </row>
    <row r="1812" spans="1:2" x14ac:dyDescent="0.2">
      <c r="A1812" s="57">
        <v>42077</v>
      </c>
    </row>
    <row r="1813" spans="1:2" x14ac:dyDescent="0.2">
      <c r="A1813" s="57">
        <v>42076</v>
      </c>
      <c r="B1813">
        <v>1.0571999999999999</v>
      </c>
    </row>
    <row r="1814" spans="1:2" x14ac:dyDescent="0.2">
      <c r="A1814" s="57">
        <v>42075</v>
      </c>
      <c r="B1814">
        <v>1.0612999999999999</v>
      </c>
    </row>
    <row r="1815" spans="1:2" x14ac:dyDescent="0.2">
      <c r="A1815" s="57">
        <v>42074</v>
      </c>
      <c r="B1815">
        <v>1.0578000000000001</v>
      </c>
    </row>
    <row r="1816" spans="1:2" x14ac:dyDescent="0.2">
      <c r="A1816" s="57">
        <v>42073</v>
      </c>
      <c r="B1816">
        <v>1.0738000000000001</v>
      </c>
    </row>
    <row r="1817" spans="1:2" x14ac:dyDescent="0.2">
      <c r="A1817" s="57">
        <v>42072</v>
      </c>
      <c r="B1817">
        <v>1.0860000000000001</v>
      </c>
    </row>
    <row r="1818" spans="1:2" x14ac:dyDescent="0.2">
      <c r="A1818" s="57">
        <v>42071</v>
      </c>
    </row>
    <row r="1819" spans="1:2" x14ac:dyDescent="0.2">
      <c r="A1819" s="57">
        <v>42070</v>
      </c>
    </row>
    <row r="1820" spans="1:2" x14ac:dyDescent="0.2">
      <c r="A1820" s="57">
        <v>42069</v>
      </c>
      <c r="B1820">
        <v>1.0963000000000001</v>
      </c>
    </row>
    <row r="1821" spans="1:2" x14ac:dyDescent="0.2">
      <c r="A1821" s="57">
        <v>42068</v>
      </c>
      <c r="B1821">
        <v>1.1069</v>
      </c>
    </row>
    <row r="1822" spans="1:2" x14ac:dyDescent="0.2">
      <c r="A1822" s="57">
        <v>42067</v>
      </c>
      <c r="B1822">
        <v>1.1124000000000001</v>
      </c>
    </row>
    <row r="1823" spans="1:2" x14ac:dyDescent="0.2">
      <c r="A1823" s="57">
        <v>42066</v>
      </c>
      <c r="B1823">
        <v>1.1168</v>
      </c>
    </row>
    <row r="1824" spans="1:2" x14ac:dyDescent="0.2">
      <c r="A1824" s="57">
        <v>42065</v>
      </c>
      <c r="B1824">
        <v>1.1227</v>
      </c>
    </row>
    <row r="1825" spans="1:2" x14ac:dyDescent="0.2">
      <c r="A1825" s="57">
        <v>42064</v>
      </c>
    </row>
    <row r="1826" spans="1:2" x14ac:dyDescent="0.2">
      <c r="A1826" s="57">
        <v>42063</v>
      </c>
    </row>
    <row r="1827" spans="1:2" x14ac:dyDescent="0.2">
      <c r="A1827" s="57">
        <v>42062</v>
      </c>
      <c r="B1827">
        <v>1.1240000000000001</v>
      </c>
    </row>
    <row r="1828" spans="1:2" x14ac:dyDescent="0.2">
      <c r="A1828" s="57">
        <v>42061</v>
      </c>
      <c r="B1828">
        <v>1.1316999999999999</v>
      </c>
    </row>
    <row r="1829" spans="1:2" x14ac:dyDescent="0.2">
      <c r="A1829" s="57">
        <v>42060</v>
      </c>
      <c r="B1829">
        <v>1.1346000000000001</v>
      </c>
    </row>
    <row r="1830" spans="1:2" x14ac:dyDescent="0.2">
      <c r="A1830" s="57">
        <v>42059</v>
      </c>
      <c r="B1830">
        <v>1.1328</v>
      </c>
    </row>
    <row r="1831" spans="1:2" x14ac:dyDescent="0.2">
      <c r="A1831" s="57">
        <v>42058</v>
      </c>
      <c r="B1831">
        <v>1.1297999999999999</v>
      </c>
    </row>
    <row r="1832" spans="1:2" x14ac:dyDescent="0.2">
      <c r="A1832" s="57">
        <v>42057</v>
      </c>
    </row>
    <row r="1833" spans="1:2" x14ac:dyDescent="0.2">
      <c r="A1833" s="57">
        <v>42056</v>
      </c>
    </row>
    <row r="1834" spans="1:2" x14ac:dyDescent="0.2">
      <c r="A1834" s="57">
        <v>42055</v>
      </c>
      <c r="B1834">
        <v>1.1297999999999999</v>
      </c>
    </row>
    <row r="1835" spans="1:2" x14ac:dyDescent="0.2">
      <c r="A1835" s="57">
        <v>42054</v>
      </c>
      <c r="B1835">
        <v>1.1387</v>
      </c>
    </row>
    <row r="1836" spans="1:2" x14ac:dyDescent="0.2">
      <c r="A1836" s="57">
        <v>42053</v>
      </c>
      <c r="B1836">
        <v>1.1372</v>
      </c>
    </row>
    <row r="1837" spans="1:2" x14ac:dyDescent="0.2">
      <c r="A1837" s="57">
        <v>42052</v>
      </c>
      <c r="B1837">
        <v>1.1415</v>
      </c>
    </row>
    <row r="1838" spans="1:2" x14ac:dyDescent="0.2">
      <c r="A1838" s="57">
        <v>42051</v>
      </c>
      <c r="B1838">
        <v>1.1408</v>
      </c>
    </row>
    <row r="1839" spans="1:2" x14ac:dyDescent="0.2">
      <c r="A1839" s="57">
        <v>42050</v>
      </c>
    </row>
    <row r="1840" spans="1:2" x14ac:dyDescent="0.2">
      <c r="A1840" s="57">
        <v>42049</v>
      </c>
    </row>
    <row r="1841" spans="1:2" x14ac:dyDescent="0.2">
      <c r="A1841" s="57">
        <v>42048</v>
      </c>
      <c r="B1841">
        <v>1.1380999999999999</v>
      </c>
    </row>
    <row r="1842" spans="1:2" x14ac:dyDescent="0.2">
      <c r="A1842" s="57">
        <v>42047</v>
      </c>
      <c r="B1842">
        <v>1.1328</v>
      </c>
    </row>
    <row r="1843" spans="1:2" x14ac:dyDescent="0.2">
      <c r="A1843" s="57">
        <v>42046</v>
      </c>
      <c r="B1843">
        <v>1.1314</v>
      </c>
    </row>
    <row r="1844" spans="1:2" x14ac:dyDescent="0.2">
      <c r="A1844" s="57">
        <v>42045</v>
      </c>
      <c r="B1844">
        <v>1.1296999999999999</v>
      </c>
    </row>
    <row r="1845" spans="1:2" x14ac:dyDescent="0.2">
      <c r="A1845" s="57">
        <v>42044</v>
      </c>
      <c r="B1845">
        <v>1.1274999999999999</v>
      </c>
    </row>
    <row r="1846" spans="1:2" x14ac:dyDescent="0.2">
      <c r="A1846" s="57">
        <v>42043</v>
      </c>
    </row>
    <row r="1847" spans="1:2" x14ac:dyDescent="0.2">
      <c r="A1847" s="57">
        <v>42042</v>
      </c>
    </row>
    <row r="1848" spans="1:2" x14ac:dyDescent="0.2">
      <c r="A1848" s="57">
        <v>42041</v>
      </c>
      <c r="B1848">
        <v>1.1447000000000001</v>
      </c>
    </row>
    <row r="1849" spans="1:2" x14ac:dyDescent="0.2">
      <c r="A1849" s="57">
        <v>42040</v>
      </c>
      <c r="B1849">
        <v>1.141</v>
      </c>
    </row>
    <row r="1850" spans="1:2" x14ac:dyDescent="0.2">
      <c r="A1850" s="57">
        <v>42039</v>
      </c>
      <c r="B1850">
        <v>1.1446000000000001</v>
      </c>
    </row>
    <row r="1851" spans="1:2" x14ac:dyDescent="0.2">
      <c r="A1851" s="57">
        <v>42038</v>
      </c>
      <c r="B1851">
        <v>1.1375999999999999</v>
      </c>
    </row>
    <row r="1852" spans="1:2" x14ac:dyDescent="0.2">
      <c r="A1852" s="57">
        <v>42037</v>
      </c>
      <c r="B1852">
        <v>1.131</v>
      </c>
    </row>
    <row r="1853" spans="1:2" x14ac:dyDescent="0.2">
      <c r="A1853" s="57">
        <v>42036</v>
      </c>
    </row>
    <row r="1854" spans="1:2" x14ac:dyDescent="0.2">
      <c r="A1854" s="57">
        <v>42035</v>
      </c>
    </row>
    <row r="1855" spans="1:2" x14ac:dyDescent="0.2">
      <c r="A1855" s="57">
        <v>42034</v>
      </c>
      <c r="B1855">
        <v>1.1305000000000001</v>
      </c>
    </row>
    <row r="1856" spans="1:2" x14ac:dyDescent="0.2">
      <c r="A1856" s="57">
        <v>42033</v>
      </c>
      <c r="B1856">
        <v>1.1315</v>
      </c>
    </row>
    <row r="1857" spans="1:2" x14ac:dyDescent="0.2">
      <c r="A1857" s="57">
        <v>42032</v>
      </c>
      <c r="B1857">
        <v>1.1344000000000001</v>
      </c>
    </row>
    <row r="1858" spans="1:2" x14ac:dyDescent="0.2">
      <c r="A1858" s="57">
        <v>42031</v>
      </c>
      <c r="B1858">
        <v>1.1306</v>
      </c>
    </row>
    <row r="1859" spans="1:2" x14ac:dyDescent="0.2">
      <c r="A1859" s="57">
        <v>42030</v>
      </c>
      <c r="B1859">
        <v>1.1244000000000001</v>
      </c>
    </row>
    <row r="1860" spans="1:2" x14ac:dyDescent="0.2">
      <c r="A1860" s="57">
        <v>42029</v>
      </c>
    </row>
    <row r="1861" spans="1:2" x14ac:dyDescent="0.2">
      <c r="A1861" s="57">
        <v>42028</v>
      </c>
    </row>
    <row r="1862" spans="1:2" x14ac:dyDescent="0.2">
      <c r="A1862" s="57">
        <v>42027</v>
      </c>
      <c r="B1862">
        <v>1.1197999999999999</v>
      </c>
    </row>
    <row r="1863" spans="1:2" x14ac:dyDescent="0.2">
      <c r="A1863" s="57">
        <v>42026</v>
      </c>
      <c r="B1863">
        <v>1.1617999999999999</v>
      </c>
    </row>
    <row r="1864" spans="1:2" x14ac:dyDescent="0.2">
      <c r="A1864" s="57">
        <v>42025</v>
      </c>
      <c r="B1864">
        <v>1.1593</v>
      </c>
    </row>
    <row r="1865" spans="1:2" x14ac:dyDescent="0.2">
      <c r="A1865" s="57">
        <v>42024</v>
      </c>
      <c r="B1865">
        <v>1.1578999999999999</v>
      </c>
    </row>
    <row r="1866" spans="1:2" x14ac:dyDescent="0.2">
      <c r="A1866" s="57">
        <v>42023</v>
      </c>
      <c r="B1866">
        <v>1.1605000000000001</v>
      </c>
    </row>
    <row r="1867" spans="1:2" x14ac:dyDescent="0.2">
      <c r="A1867" s="57">
        <v>42022</v>
      </c>
    </row>
    <row r="1868" spans="1:2" x14ac:dyDescent="0.2">
      <c r="A1868" s="57">
        <v>42021</v>
      </c>
    </row>
    <row r="1869" spans="1:2" x14ac:dyDescent="0.2">
      <c r="A1869" s="57">
        <v>42020</v>
      </c>
      <c r="B1869">
        <v>1.1588000000000001</v>
      </c>
    </row>
    <row r="1870" spans="1:2" x14ac:dyDescent="0.2">
      <c r="A1870" s="57">
        <v>42019</v>
      </c>
      <c r="B1870">
        <v>1.1708000000000001</v>
      </c>
    </row>
    <row r="1871" spans="1:2" x14ac:dyDescent="0.2">
      <c r="A1871" s="57">
        <v>42018</v>
      </c>
      <c r="B1871">
        <v>1.1775</v>
      </c>
    </row>
    <row r="1872" spans="1:2" x14ac:dyDescent="0.2">
      <c r="A1872" s="57">
        <v>42017</v>
      </c>
      <c r="B1872">
        <v>1.1781999999999999</v>
      </c>
    </row>
    <row r="1873" spans="1:2" x14ac:dyDescent="0.2">
      <c r="A1873" s="57">
        <v>42016</v>
      </c>
      <c r="B1873">
        <v>1.1803999999999999</v>
      </c>
    </row>
    <row r="1874" spans="1:2" x14ac:dyDescent="0.2">
      <c r="A1874" s="57">
        <v>42015</v>
      </c>
    </row>
    <row r="1875" spans="1:2" x14ac:dyDescent="0.2">
      <c r="A1875" s="57">
        <v>42014</v>
      </c>
    </row>
    <row r="1876" spans="1:2" x14ac:dyDescent="0.2">
      <c r="A1876" s="57">
        <v>42013</v>
      </c>
      <c r="B1876">
        <v>1.1813</v>
      </c>
    </row>
    <row r="1877" spans="1:2" x14ac:dyDescent="0.2">
      <c r="A1877" s="57">
        <v>42012</v>
      </c>
      <c r="B1877">
        <v>1.1768000000000001</v>
      </c>
    </row>
    <row r="1878" spans="1:2" x14ac:dyDescent="0.2">
      <c r="A1878" s="57">
        <v>42011</v>
      </c>
      <c r="B1878">
        <v>1.1831</v>
      </c>
    </row>
    <row r="1879" spans="1:2" x14ac:dyDescent="0.2">
      <c r="A1879" s="57">
        <v>42010</v>
      </c>
      <c r="B1879">
        <v>1.1914</v>
      </c>
    </row>
    <row r="1880" spans="1:2" x14ac:dyDescent="0.2">
      <c r="A1880" s="57">
        <v>42009</v>
      </c>
      <c r="B1880">
        <v>1.1915</v>
      </c>
    </row>
    <row r="1881" spans="1:2" x14ac:dyDescent="0.2">
      <c r="A1881" s="57">
        <v>42008</v>
      </c>
    </row>
    <row r="1882" spans="1:2" x14ac:dyDescent="0.2">
      <c r="A1882" s="57">
        <v>42007</v>
      </c>
    </row>
    <row r="1883" spans="1:2" x14ac:dyDescent="0.2">
      <c r="A1883" s="57">
        <v>42006</v>
      </c>
      <c r="B1883">
        <v>1.2042999999999999</v>
      </c>
    </row>
    <row r="1884" spans="1:2" x14ac:dyDescent="0.2">
      <c r="A1884" s="57">
        <v>42005</v>
      </c>
    </row>
    <row r="1885" spans="1:2" x14ac:dyDescent="0.2">
      <c r="A1885" s="57">
        <v>42004</v>
      </c>
      <c r="B1885">
        <v>1.2141</v>
      </c>
    </row>
    <row r="1886" spans="1:2" x14ac:dyDescent="0.2">
      <c r="A1886" s="57">
        <v>42003</v>
      </c>
      <c r="B1886">
        <v>1.216</v>
      </c>
    </row>
    <row r="1887" spans="1:2" x14ac:dyDescent="0.2">
      <c r="A1887" s="57">
        <v>42002</v>
      </c>
      <c r="B1887">
        <v>1.2197</v>
      </c>
    </row>
    <row r="1888" spans="1:2" x14ac:dyDescent="0.2">
      <c r="A1888" s="57">
        <v>42001</v>
      </c>
    </row>
    <row r="1889" spans="1:2" x14ac:dyDescent="0.2">
      <c r="A1889" s="57">
        <v>42000</v>
      </c>
    </row>
    <row r="1890" spans="1:2" x14ac:dyDescent="0.2">
      <c r="A1890" s="57">
        <v>41999</v>
      </c>
    </row>
    <row r="1891" spans="1:2" x14ac:dyDescent="0.2">
      <c r="A1891" s="57">
        <v>41998</v>
      </c>
    </row>
    <row r="1892" spans="1:2" x14ac:dyDescent="0.2">
      <c r="A1892" s="57">
        <v>41997</v>
      </c>
      <c r="B1892">
        <v>1.2219</v>
      </c>
    </row>
    <row r="1893" spans="1:2" x14ac:dyDescent="0.2">
      <c r="A1893" s="57">
        <v>41996</v>
      </c>
      <c r="B1893">
        <v>1.2213000000000001</v>
      </c>
    </row>
    <row r="1894" spans="1:2" x14ac:dyDescent="0.2">
      <c r="A1894" s="57">
        <v>41995</v>
      </c>
      <c r="B1894">
        <v>1.2259</v>
      </c>
    </row>
    <row r="1895" spans="1:2" x14ac:dyDescent="0.2">
      <c r="A1895" s="57">
        <v>41994</v>
      </c>
    </row>
    <row r="1896" spans="1:2" x14ac:dyDescent="0.2">
      <c r="A1896" s="57">
        <v>41993</v>
      </c>
    </row>
    <row r="1897" spans="1:2" x14ac:dyDescent="0.2">
      <c r="A1897" s="57">
        <v>41992</v>
      </c>
      <c r="B1897">
        <v>1.2279</v>
      </c>
    </row>
    <row r="1898" spans="1:2" x14ac:dyDescent="0.2">
      <c r="A1898" s="57">
        <v>41991</v>
      </c>
      <c r="B1898">
        <v>1.2284999999999999</v>
      </c>
    </row>
    <row r="1899" spans="1:2" x14ac:dyDescent="0.2">
      <c r="A1899" s="57">
        <v>41990</v>
      </c>
      <c r="B1899">
        <v>1.2447999999999999</v>
      </c>
    </row>
    <row r="1900" spans="1:2" x14ac:dyDescent="0.2">
      <c r="A1900" s="57">
        <v>41989</v>
      </c>
      <c r="B1900">
        <v>1.2537</v>
      </c>
    </row>
    <row r="1901" spans="1:2" x14ac:dyDescent="0.2">
      <c r="A1901" s="57">
        <v>41988</v>
      </c>
      <c r="B1901">
        <v>1.2425999999999999</v>
      </c>
    </row>
    <row r="1902" spans="1:2" x14ac:dyDescent="0.2">
      <c r="A1902" s="57">
        <v>41987</v>
      </c>
    </row>
    <row r="1903" spans="1:2" x14ac:dyDescent="0.2">
      <c r="A1903" s="57">
        <v>41986</v>
      </c>
    </row>
    <row r="1904" spans="1:2" x14ac:dyDescent="0.2">
      <c r="A1904" s="57">
        <v>41985</v>
      </c>
      <c r="B1904">
        <v>1.2450000000000001</v>
      </c>
    </row>
    <row r="1905" spans="1:2" x14ac:dyDescent="0.2">
      <c r="A1905" s="57">
        <v>41984</v>
      </c>
      <c r="B1905">
        <v>1.2427999999999999</v>
      </c>
    </row>
    <row r="1906" spans="1:2" x14ac:dyDescent="0.2">
      <c r="A1906" s="57">
        <v>41983</v>
      </c>
      <c r="B1906">
        <v>1.2392000000000001</v>
      </c>
    </row>
    <row r="1907" spans="1:2" x14ac:dyDescent="0.2">
      <c r="A1907" s="57">
        <v>41982</v>
      </c>
      <c r="B1907">
        <v>1.2369000000000001</v>
      </c>
    </row>
    <row r="1908" spans="1:2" x14ac:dyDescent="0.2">
      <c r="A1908" s="57">
        <v>41981</v>
      </c>
      <c r="B1908">
        <v>1.2258</v>
      </c>
    </row>
    <row r="1909" spans="1:2" x14ac:dyDescent="0.2">
      <c r="A1909" s="57">
        <v>41980</v>
      </c>
    </row>
    <row r="1910" spans="1:2" x14ac:dyDescent="0.2">
      <c r="A1910" s="57">
        <v>41979</v>
      </c>
    </row>
    <row r="1911" spans="1:2" x14ac:dyDescent="0.2">
      <c r="A1911" s="57">
        <v>41978</v>
      </c>
      <c r="B1911">
        <v>1.2362</v>
      </c>
    </row>
    <row r="1912" spans="1:2" x14ac:dyDescent="0.2">
      <c r="A1912" s="57">
        <v>41977</v>
      </c>
      <c r="B1912">
        <v>1.2311000000000001</v>
      </c>
    </row>
    <row r="1913" spans="1:2" x14ac:dyDescent="0.2">
      <c r="A1913" s="57">
        <v>41976</v>
      </c>
      <c r="B1913">
        <v>1.2331000000000001</v>
      </c>
    </row>
    <row r="1914" spans="1:2" x14ac:dyDescent="0.2">
      <c r="A1914" s="57">
        <v>41975</v>
      </c>
      <c r="B1914">
        <v>1.2423999999999999</v>
      </c>
    </row>
    <row r="1915" spans="1:2" x14ac:dyDescent="0.2">
      <c r="A1915" s="57">
        <v>41974</v>
      </c>
      <c r="B1915">
        <v>1.2468999999999999</v>
      </c>
    </row>
    <row r="1916" spans="1:2" x14ac:dyDescent="0.2">
      <c r="A1916" s="57">
        <v>41973</v>
      </c>
    </row>
    <row r="1917" spans="1:2" x14ac:dyDescent="0.2">
      <c r="A1917" s="57">
        <v>41972</v>
      </c>
    </row>
    <row r="1918" spans="1:2" x14ac:dyDescent="0.2">
      <c r="A1918" s="57">
        <v>41971</v>
      </c>
      <c r="B1918">
        <v>1.2483</v>
      </c>
    </row>
    <row r="1919" spans="1:2" x14ac:dyDescent="0.2">
      <c r="A1919" s="57">
        <v>41970</v>
      </c>
      <c r="B1919">
        <v>1.248</v>
      </c>
    </row>
    <row r="1920" spans="1:2" x14ac:dyDescent="0.2">
      <c r="A1920" s="57">
        <v>41969</v>
      </c>
      <c r="B1920">
        <v>1.2475000000000001</v>
      </c>
    </row>
    <row r="1921" spans="1:2" x14ac:dyDescent="0.2">
      <c r="A1921" s="57">
        <v>41968</v>
      </c>
      <c r="B1921">
        <v>1.2423999999999999</v>
      </c>
    </row>
    <row r="1922" spans="1:2" x14ac:dyDescent="0.2">
      <c r="A1922" s="57">
        <v>41967</v>
      </c>
      <c r="B1922">
        <v>1.2410000000000001</v>
      </c>
    </row>
    <row r="1923" spans="1:2" x14ac:dyDescent="0.2">
      <c r="A1923" s="57">
        <v>41966</v>
      </c>
    </row>
    <row r="1924" spans="1:2" x14ac:dyDescent="0.2">
      <c r="A1924" s="57">
        <v>41965</v>
      </c>
    </row>
    <row r="1925" spans="1:2" x14ac:dyDescent="0.2">
      <c r="A1925" s="57">
        <v>41964</v>
      </c>
      <c r="B1925">
        <v>1.2422</v>
      </c>
    </row>
    <row r="1926" spans="1:2" x14ac:dyDescent="0.2">
      <c r="A1926" s="57">
        <v>41963</v>
      </c>
      <c r="B1926">
        <v>1.2539</v>
      </c>
    </row>
    <row r="1927" spans="1:2" x14ac:dyDescent="0.2">
      <c r="A1927" s="57">
        <v>41962</v>
      </c>
      <c r="B1927">
        <v>1.2535000000000001</v>
      </c>
    </row>
    <row r="1928" spans="1:2" x14ac:dyDescent="0.2">
      <c r="A1928" s="57">
        <v>41961</v>
      </c>
      <c r="B1928">
        <v>1.2514000000000001</v>
      </c>
    </row>
    <row r="1929" spans="1:2" x14ac:dyDescent="0.2">
      <c r="A1929" s="57">
        <v>41960</v>
      </c>
      <c r="B1929">
        <v>1.2496</v>
      </c>
    </row>
    <row r="1930" spans="1:2" x14ac:dyDescent="0.2">
      <c r="A1930" s="57">
        <v>41959</v>
      </c>
    </row>
    <row r="1931" spans="1:2" x14ac:dyDescent="0.2">
      <c r="A1931" s="57">
        <v>41958</v>
      </c>
    </row>
    <row r="1932" spans="1:2" x14ac:dyDescent="0.2">
      <c r="A1932" s="57">
        <v>41957</v>
      </c>
      <c r="B1932">
        <v>1.2436</v>
      </c>
    </row>
    <row r="1933" spans="1:2" x14ac:dyDescent="0.2">
      <c r="A1933" s="57">
        <v>41956</v>
      </c>
      <c r="B1933">
        <v>1.2456</v>
      </c>
    </row>
    <row r="1934" spans="1:2" x14ac:dyDescent="0.2">
      <c r="A1934" s="57">
        <v>41955</v>
      </c>
      <c r="B1934">
        <v>1.2466999999999999</v>
      </c>
    </row>
    <row r="1935" spans="1:2" x14ac:dyDescent="0.2">
      <c r="A1935" s="57">
        <v>41954</v>
      </c>
      <c r="B1935">
        <v>1.2423999999999999</v>
      </c>
    </row>
    <row r="1936" spans="1:2" x14ac:dyDescent="0.2">
      <c r="A1936" s="57">
        <v>41953</v>
      </c>
      <c r="B1936">
        <v>1.2485999999999999</v>
      </c>
    </row>
    <row r="1937" spans="1:2" x14ac:dyDescent="0.2">
      <c r="A1937" s="57">
        <v>41952</v>
      </c>
    </row>
    <row r="1938" spans="1:2" x14ac:dyDescent="0.2">
      <c r="A1938" s="57">
        <v>41951</v>
      </c>
    </row>
    <row r="1939" spans="1:2" x14ac:dyDescent="0.2">
      <c r="A1939" s="57">
        <v>41950</v>
      </c>
      <c r="B1939">
        <v>1.2393000000000001</v>
      </c>
    </row>
    <row r="1940" spans="1:2" x14ac:dyDescent="0.2">
      <c r="A1940" s="57">
        <v>41949</v>
      </c>
      <c r="B1940">
        <v>1.2517</v>
      </c>
    </row>
    <row r="1941" spans="1:2" x14ac:dyDescent="0.2">
      <c r="A1941" s="57">
        <v>41948</v>
      </c>
      <c r="B1941">
        <v>1.248</v>
      </c>
    </row>
    <row r="1942" spans="1:2" x14ac:dyDescent="0.2">
      <c r="A1942" s="57">
        <v>41947</v>
      </c>
      <c r="B1942">
        <v>1.2514000000000001</v>
      </c>
    </row>
    <row r="1943" spans="1:2" x14ac:dyDescent="0.2">
      <c r="A1943" s="57">
        <v>41946</v>
      </c>
      <c r="B1943">
        <v>1.2493000000000001</v>
      </c>
    </row>
    <row r="1944" spans="1:2" x14ac:dyDescent="0.2">
      <c r="A1944" s="57">
        <v>41945</v>
      </c>
    </row>
    <row r="1945" spans="1:2" x14ac:dyDescent="0.2">
      <c r="A1945" s="57">
        <v>41944</v>
      </c>
    </row>
    <row r="1946" spans="1:2" x14ac:dyDescent="0.2">
      <c r="A1946" s="57">
        <v>41943</v>
      </c>
      <c r="B1946">
        <v>1.2524</v>
      </c>
    </row>
    <row r="1947" spans="1:2" x14ac:dyDescent="0.2">
      <c r="A1947" s="57">
        <v>41942</v>
      </c>
      <c r="B1947">
        <v>1.2598</v>
      </c>
    </row>
    <row r="1948" spans="1:2" x14ac:dyDescent="0.2">
      <c r="A1948" s="57">
        <v>41941</v>
      </c>
      <c r="B1948">
        <v>1.2737000000000001</v>
      </c>
    </row>
    <row r="1949" spans="1:2" x14ac:dyDescent="0.2">
      <c r="A1949" s="57">
        <v>41940</v>
      </c>
      <c r="B1949">
        <v>1.2747999999999999</v>
      </c>
    </row>
    <row r="1950" spans="1:2" x14ac:dyDescent="0.2">
      <c r="A1950" s="57">
        <v>41939</v>
      </c>
      <c r="B1950">
        <v>1.2679</v>
      </c>
    </row>
    <row r="1951" spans="1:2" x14ac:dyDescent="0.2">
      <c r="A1951" s="57">
        <v>41938</v>
      </c>
    </row>
    <row r="1952" spans="1:2" x14ac:dyDescent="0.2">
      <c r="A1952" s="57">
        <v>41937</v>
      </c>
    </row>
    <row r="1953" spans="1:2" x14ac:dyDescent="0.2">
      <c r="A1953" s="57">
        <v>41936</v>
      </c>
      <c r="B1953">
        <v>1.2659</v>
      </c>
    </row>
    <row r="1954" spans="1:2" x14ac:dyDescent="0.2">
      <c r="A1954" s="57">
        <v>41935</v>
      </c>
      <c r="B1954">
        <v>1.2668999999999999</v>
      </c>
    </row>
    <row r="1955" spans="1:2" x14ac:dyDescent="0.2">
      <c r="A1955" s="57">
        <v>41934</v>
      </c>
      <c r="B1955">
        <v>1.2693000000000001</v>
      </c>
    </row>
    <row r="1956" spans="1:2" x14ac:dyDescent="0.2">
      <c r="A1956" s="57">
        <v>41933</v>
      </c>
      <c r="B1956">
        <v>1.2762</v>
      </c>
    </row>
    <row r="1957" spans="1:2" x14ac:dyDescent="0.2">
      <c r="A1957" s="57">
        <v>41932</v>
      </c>
      <c r="B1957">
        <v>1.2773000000000001</v>
      </c>
    </row>
    <row r="1958" spans="1:2" x14ac:dyDescent="0.2">
      <c r="A1958" s="57">
        <v>41931</v>
      </c>
    </row>
    <row r="1959" spans="1:2" x14ac:dyDescent="0.2">
      <c r="A1959" s="57">
        <v>41930</v>
      </c>
    </row>
    <row r="1960" spans="1:2" x14ac:dyDescent="0.2">
      <c r="A1960" s="57">
        <v>41929</v>
      </c>
      <c r="B1960">
        <v>1.2823</v>
      </c>
    </row>
    <row r="1961" spans="1:2" x14ac:dyDescent="0.2">
      <c r="A1961" s="57">
        <v>41928</v>
      </c>
      <c r="B1961">
        <v>1.2748999999999999</v>
      </c>
    </row>
    <row r="1962" spans="1:2" x14ac:dyDescent="0.2">
      <c r="A1962" s="57">
        <v>41927</v>
      </c>
      <c r="B1962">
        <v>1.2665999999999999</v>
      </c>
    </row>
    <row r="1963" spans="1:2" x14ac:dyDescent="0.2">
      <c r="A1963" s="57">
        <v>41926</v>
      </c>
      <c r="B1963">
        <v>1.2645999999999999</v>
      </c>
    </row>
    <row r="1964" spans="1:2" x14ac:dyDescent="0.2">
      <c r="A1964" s="57">
        <v>41925</v>
      </c>
      <c r="B1964">
        <v>1.2679</v>
      </c>
    </row>
    <row r="1965" spans="1:2" x14ac:dyDescent="0.2">
      <c r="A1965" s="57">
        <v>41924</v>
      </c>
    </row>
    <row r="1966" spans="1:2" x14ac:dyDescent="0.2">
      <c r="A1966" s="57">
        <v>41923</v>
      </c>
    </row>
    <row r="1967" spans="1:2" x14ac:dyDescent="0.2">
      <c r="A1967" s="57">
        <v>41922</v>
      </c>
      <c r="B1967">
        <v>1.2638</v>
      </c>
    </row>
    <row r="1968" spans="1:2" x14ac:dyDescent="0.2">
      <c r="A1968" s="57">
        <v>41921</v>
      </c>
      <c r="B1968">
        <v>1.2763</v>
      </c>
    </row>
    <row r="1969" spans="1:2" x14ac:dyDescent="0.2">
      <c r="A1969" s="57">
        <v>41920</v>
      </c>
      <c r="B1969">
        <v>1.2645</v>
      </c>
    </row>
    <row r="1970" spans="1:2" x14ac:dyDescent="0.2">
      <c r="A1970" s="57">
        <v>41919</v>
      </c>
      <c r="B1970">
        <v>1.2606999999999999</v>
      </c>
    </row>
    <row r="1971" spans="1:2" x14ac:dyDescent="0.2">
      <c r="A1971" s="57">
        <v>41918</v>
      </c>
      <c r="B1971">
        <v>1.2565</v>
      </c>
    </row>
    <row r="1972" spans="1:2" x14ac:dyDescent="0.2">
      <c r="A1972" s="57">
        <v>41917</v>
      </c>
    </row>
    <row r="1973" spans="1:2" x14ac:dyDescent="0.2">
      <c r="A1973" s="57">
        <v>41916</v>
      </c>
    </row>
    <row r="1974" spans="1:2" x14ac:dyDescent="0.2">
      <c r="A1974" s="57">
        <v>41915</v>
      </c>
      <c r="B1974">
        <v>1.2616000000000001</v>
      </c>
    </row>
    <row r="1975" spans="1:2" x14ac:dyDescent="0.2">
      <c r="A1975" s="57">
        <v>41914</v>
      </c>
      <c r="B1975">
        <v>1.2630999999999999</v>
      </c>
    </row>
    <row r="1976" spans="1:2" x14ac:dyDescent="0.2">
      <c r="A1976" s="57">
        <v>41913</v>
      </c>
      <c r="B1976">
        <v>1.2603</v>
      </c>
    </row>
    <row r="1977" spans="1:2" x14ac:dyDescent="0.2">
      <c r="A1977" s="57">
        <v>41912</v>
      </c>
      <c r="B1977">
        <v>1.2583</v>
      </c>
    </row>
    <row r="1978" spans="1:2" x14ac:dyDescent="0.2">
      <c r="A1978" s="57">
        <v>41911</v>
      </c>
      <c r="B1978">
        <v>1.2701</v>
      </c>
    </row>
    <row r="1979" spans="1:2" x14ac:dyDescent="0.2">
      <c r="A1979" s="57">
        <v>41910</v>
      </c>
    </row>
    <row r="1980" spans="1:2" x14ac:dyDescent="0.2">
      <c r="A1980" s="57">
        <v>41909</v>
      </c>
    </row>
    <row r="1981" spans="1:2" x14ac:dyDescent="0.2">
      <c r="A1981" s="57">
        <v>41908</v>
      </c>
      <c r="B1981">
        <v>1.2732000000000001</v>
      </c>
    </row>
    <row r="1982" spans="1:2" x14ac:dyDescent="0.2">
      <c r="A1982" s="57">
        <v>41907</v>
      </c>
      <c r="B1982">
        <v>1.2712000000000001</v>
      </c>
    </row>
    <row r="1983" spans="1:2" x14ac:dyDescent="0.2">
      <c r="A1983" s="57">
        <v>41906</v>
      </c>
      <c r="B1983">
        <v>1.2826</v>
      </c>
    </row>
    <row r="1984" spans="1:2" x14ac:dyDescent="0.2">
      <c r="A1984" s="57">
        <v>41905</v>
      </c>
      <c r="B1984">
        <v>1.2891999999999999</v>
      </c>
    </row>
    <row r="1985" spans="1:2" x14ac:dyDescent="0.2">
      <c r="A1985" s="57">
        <v>41904</v>
      </c>
      <c r="B1985">
        <v>1.2845</v>
      </c>
    </row>
    <row r="1986" spans="1:2" x14ac:dyDescent="0.2">
      <c r="A1986" s="57">
        <v>41903</v>
      </c>
    </row>
    <row r="1987" spans="1:2" x14ac:dyDescent="0.2">
      <c r="A1987" s="57">
        <v>41902</v>
      </c>
    </row>
    <row r="1988" spans="1:2" x14ac:dyDescent="0.2">
      <c r="A1988" s="57">
        <v>41901</v>
      </c>
      <c r="B1988">
        <v>1.2851999999999999</v>
      </c>
    </row>
    <row r="1989" spans="1:2" x14ac:dyDescent="0.2">
      <c r="A1989" s="57">
        <v>41900</v>
      </c>
      <c r="B1989">
        <v>1.2871999999999999</v>
      </c>
    </row>
    <row r="1990" spans="1:2" x14ac:dyDescent="0.2">
      <c r="A1990" s="57">
        <v>41899</v>
      </c>
      <c r="B1990">
        <v>1.2956000000000001</v>
      </c>
    </row>
    <row r="1991" spans="1:2" x14ac:dyDescent="0.2">
      <c r="A1991" s="57">
        <v>41898</v>
      </c>
      <c r="B1991">
        <v>1.2948999999999999</v>
      </c>
    </row>
    <row r="1992" spans="1:2" x14ac:dyDescent="0.2">
      <c r="A1992" s="57">
        <v>41897</v>
      </c>
      <c r="B1992">
        <v>1.2910999999999999</v>
      </c>
    </row>
    <row r="1993" spans="1:2" x14ac:dyDescent="0.2">
      <c r="A1993" s="57">
        <v>41896</v>
      </c>
    </row>
    <row r="1994" spans="1:2" x14ac:dyDescent="0.2">
      <c r="A1994" s="57">
        <v>41895</v>
      </c>
    </row>
    <row r="1995" spans="1:2" x14ac:dyDescent="0.2">
      <c r="A1995" s="57">
        <v>41894</v>
      </c>
      <c r="B1995">
        <v>1.2930999999999999</v>
      </c>
    </row>
    <row r="1996" spans="1:2" x14ac:dyDescent="0.2">
      <c r="A1996" s="57">
        <v>41893</v>
      </c>
      <c r="B1996">
        <v>1.2927999999999999</v>
      </c>
    </row>
    <row r="1997" spans="1:2" x14ac:dyDescent="0.2">
      <c r="A1997" s="57">
        <v>41892</v>
      </c>
      <c r="B1997">
        <v>1.2928999999999999</v>
      </c>
    </row>
    <row r="1998" spans="1:2" x14ac:dyDescent="0.2">
      <c r="A1998" s="57">
        <v>41891</v>
      </c>
      <c r="B1998">
        <v>1.2902</v>
      </c>
    </row>
    <row r="1999" spans="1:2" x14ac:dyDescent="0.2">
      <c r="A1999" s="57">
        <v>41890</v>
      </c>
      <c r="B1999">
        <v>1.2947</v>
      </c>
    </row>
    <row r="2000" spans="1:2" x14ac:dyDescent="0.2">
      <c r="A2000" s="57">
        <v>41889</v>
      </c>
    </row>
    <row r="2001" spans="1:2" x14ac:dyDescent="0.2">
      <c r="A2001" s="57">
        <v>41888</v>
      </c>
    </row>
    <row r="2002" spans="1:2" x14ac:dyDescent="0.2">
      <c r="A2002" s="57">
        <v>41887</v>
      </c>
      <c r="B2002">
        <v>1.2948</v>
      </c>
    </row>
    <row r="2003" spans="1:2" x14ac:dyDescent="0.2">
      <c r="A2003" s="57">
        <v>41886</v>
      </c>
      <c r="B2003">
        <v>1.3015000000000001</v>
      </c>
    </row>
    <row r="2004" spans="1:2" x14ac:dyDescent="0.2">
      <c r="A2004" s="57">
        <v>41885</v>
      </c>
      <c r="B2004">
        <v>1.3150999999999999</v>
      </c>
    </row>
    <row r="2005" spans="1:2" x14ac:dyDescent="0.2">
      <c r="A2005" s="57">
        <v>41884</v>
      </c>
      <c r="B2005">
        <v>1.3115000000000001</v>
      </c>
    </row>
    <row r="2006" spans="1:2" x14ac:dyDescent="0.2">
      <c r="A2006" s="57">
        <v>41883</v>
      </c>
      <c r="B2006">
        <v>1.3132999999999999</v>
      </c>
    </row>
    <row r="2007" spans="1:2" x14ac:dyDescent="0.2">
      <c r="A2007" s="57">
        <v>41882</v>
      </c>
    </row>
    <row r="2008" spans="1:2" x14ac:dyDescent="0.2">
      <c r="A2008" s="57">
        <v>41881</v>
      </c>
    </row>
    <row r="2009" spans="1:2" x14ac:dyDescent="0.2">
      <c r="A2009" s="57">
        <v>41880</v>
      </c>
      <c r="B2009">
        <v>1.3188</v>
      </c>
    </row>
    <row r="2010" spans="1:2" x14ac:dyDescent="0.2">
      <c r="A2010" s="57">
        <v>41879</v>
      </c>
      <c r="B2010">
        <v>1.3178000000000001</v>
      </c>
    </row>
    <row r="2011" spans="1:2" x14ac:dyDescent="0.2">
      <c r="A2011" s="57">
        <v>41878</v>
      </c>
      <c r="B2011">
        <v>1.3177000000000001</v>
      </c>
    </row>
    <row r="2012" spans="1:2" x14ac:dyDescent="0.2">
      <c r="A2012" s="57">
        <v>41877</v>
      </c>
      <c r="B2012">
        <v>1.3191999999999999</v>
      </c>
    </row>
    <row r="2013" spans="1:2" x14ac:dyDescent="0.2">
      <c r="A2013" s="57">
        <v>41876</v>
      </c>
      <c r="B2013">
        <v>1.32</v>
      </c>
    </row>
    <row r="2014" spans="1:2" x14ac:dyDescent="0.2">
      <c r="A2014" s="57">
        <v>41875</v>
      </c>
    </row>
    <row r="2015" spans="1:2" x14ac:dyDescent="0.2">
      <c r="A2015" s="57">
        <v>41874</v>
      </c>
    </row>
    <row r="2016" spans="1:2" x14ac:dyDescent="0.2">
      <c r="A2016" s="57">
        <v>41873</v>
      </c>
      <c r="B2016">
        <v>1.3267</v>
      </c>
    </row>
    <row r="2017" spans="1:2" x14ac:dyDescent="0.2">
      <c r="A2017" s="57">
        <v>41872</v>
      </c>
      <c r="B2017">
        <v>1.3262</v>
      </c>
    </row>
    <row r="2018" spans="1:2" x14ac:dyDescent="0.2">
      <c r="A2018" s="57">
        <v>41871</v>
      </c>
      <c r="B2018">
        <v>1.3284</v>
      </c>
    </row>
    <row r="2019" spans="1:2" x14ac:dyDescent="0.2">
      <c r="A2019" s="57">
        <v>41870</v>
      </c>
      <c r="B2019">
        <v>1.3353999999999999</v>
      </c>
    </row>
    <row r="2020" spans="1:2" x14ac:dyDescent="0.2">
      <c r="A2020" s="57">
        <v>41869</v>
      </c>
      <c r="B2020">
        <v>1.3383</v>
      </c>
    </row>
    <row r="2021" spans="1:2" x14ac:dyDescent="0.2">
      <c r="A2021" s="57">
        <v>41868</v>
      </c>
    </row>
    <row r="2022" spans="1:2" x14ac:dyDescent="0.2">
      <c r="A2022" s="57">
        <v>41867</v>
      </c>
    </row>
    <row r="2023" spans="1:2" x14ac:dyDescent="0.2">
      <c r="A2023" s="57">
        <v>41866</v>
      </c>
      <c r="B2023">
        <v>1.3388</v>
      </c>
    </row>
    <row r="2024" spans="1:2" x14ac:dyDescent="0.2">
      <c r="A2024" s="57">
        <v>41865</v>
      </c>
      <c r="B2024">
        <v>1.3372999999999999</v>
      </c>
    </row>
    <row r="2025" spans="1:2" x14ac:dyDescent="0.2">
      <c r="A2025" s="57">
        <v>41864</v>
      </c>
      <c r="B2025">
        <v>1.3360000000000001</v>
      </c>
    </row>
    <row r="2026" spans="1:2" x14ac:dyDescent="0.2">
      <c r="A2026" s="57">
        <v>41863</v>
      </c>
      <c r="B2026">
        <v>1.3346</v>
      </c>
    </row>
    <row r="2027" spans="1:2" x14ac:dyDescent="0.2">
      <c r="A2027" s="57">
        <v>41862</v>
      </c>
      <c r="B2027">
        <v>1.3386</v>
      </c>
    </row>
    <row r="2028" spans="1:2" x14ac:dyDescent="0.2">
      <c r="A2028" s="57">
        <v>41861</v>
      </c>
    </row>
    <row r="2029" spans="1:2" x14ac:dyDescent="0.2">
      <c r="A2029" s="57">
        <v>41860</v>
      </c>
    </row>
    <row r="2030" spans="1:2" x14ac:dyDescent="0.2">
      <c r="A2030" s="57">
        <v>41859</v>
      </c>
      <c r="B2030">
        <v>1.3388</v>
      </c>
    </row>
    <row r="2031" spans="1:2" x14ac:dyDescent="0.2">
      <c r="A2031" s="57">
        <v>41858</v>
      </c>
      <c r="B2031">
        <v>1.3368</v>
      </c>
    </row>
    <row r="2032" spans="1:2" x14ac:dyDescent="0.2">
      <c r="A2032" s="57">
        <v>41857</v>
      </c>
      <c r="B2032">
        <v>1.3345</v>
      </c>
    </row>
    <row r="2033" spans="1:2" x14ac:dyDescent="0.2">
      <c r="A2033" s="57">
        <v>41856</v>
      </c>
      <c r="B2033">
        <v>1.3382000000000001</v>
      </c>
    </row>
    <row r="2034" spans="1:2" x14ac:dyDescent="0.2">
      <c r="A2034" s="57">
        <v>41855</v>
      </c>
      <c r="B2034">
        <v>1.3422000000000001</v>
      </c>
    </row>
    <row r="2035" spans="1:2" x14ac:dyDescent="0.2">
      <c r="A2035" s="57">
        <v>41854</v>
      </c>
    </row>
    <row r="2036" spans="1:2" x14ac:dyDescent="0.2">
      <c r="A2036" s="57">
        <v>41853</v>
      </c>
    </row>
    <row r="2037" spans="1:2" x14ac:dyDescent="0.2">
      <c r="A2037" s="57">
        <v>41852</v>
      </c>
      <c r="B2037">
        <v>1.3394999999999999</v>
      </c>
    </row>
    <row r="2038" spans="1:2" x14ac:dyDescent="0.2">
      <c r="A2038" s="57">
        <v>41851</v>
      </c>
      <c r="B2038">
        <v>1.3379000000000001</v>
      </c>
    </row>
    <row r="2039" spans="1:2" x14ac:dyDescent="0.2">
      <c r="A2039" s="57">
        <v>41850</v>
      </c>
      <c r="B2039">
        <v>1.3401000000000001</v>
      </c>
    </row>
    <row r="2040" spans="1:2" x14ac:dyDescent="0.2">
      <c r="A2040" s="57">
        <v>41849</v>
      </c>
      <c r="B2040">
        <v>1.3429</v>
      </c>
    </row>
    <row r="2041" spans="1:2" x14ac:dyDescent="0.2">
      <c r="A2041" s="57">
        <v>41848</v>
      </c>
      <c r="B2041">
        <v>1.3432999999999999</v>
      </c>
    </row>
    <row r="2042" spans="1:2" x14ac:dyDescent="0.2">
      <c r="A2042" s="57">
        <v>41847</v>
      </c>
    </row>
    <row r="2043" spans="1:2" x14ac:dyDescent="0.2">
      <c r="A2043" s="57">
        <v>41846</v>
      </c>
    </row>
    <row r="2044" spans="1:2" x14ac:dyDescent="0.2">
      <c r="A2044" s="57">
        <v>41845</v>
      </c>
      <c r="B2044">
        <v>1.3440000000000001</v>
      </c>
    </row>
    <row r="2045" spans="1:2" x14ac:dyDescent="0.2">
      <c r="A2045" s="57">
        <v>41844</v>
      </c>
      <c r="B2045">
        <v>1.3472</v>
      </c>
    </row>
    <row r="2046" spans="1:2" x14ac:dyDescent="0.2">
      <c r="A2046" s="57">
        <v>41843</v>
      </c>
      <c r="B2046">
        <v>1.3465</v>
      </c>
    </row>
    <row r="2047" spans="1:2" x14ac:dyDescent="0.2">
      <c r="A2047" s="57">
        <v>41842</v>
      </c>
      <c r="B2047">
        <v>1.3481000000000001</v>
      </c>
    </row>
    <row r="2048" spans="1:2" x14ac:dyDescent="0.2">
      <c r="A2048" s="57">
        <v>41841</v>
      </c>
      <c r="B2048">
        <v>1.3517999999999999</v>
      </c>
    </row>
    <row r="2049" spans="1:2" x14ac:dyDescent="0.2">
      <c r="A2049" s="57">
        <v>41840</v>
      </c>
    </row>
    <row r="2050" spans="1:2" x14ac:dyDescent="0.2">
      <c r="A2050" s="57">
        <v>41839</v>
      </c>
    </row>
    <row r="2051" spans="1:2" x14ac:dyDescent="0.2">
      <c r="A2051" s="57">
        <v>41838</v>
      </c>
      <c r="B2051">
        <v>1.3525</v>
      </c>
    </row>
    <row r="2052" spans="1:2" x14ac:dyDescent="0.2">
      <c r="A2052" s="57">
        <v>41837</v>
      </c>
      <c r="B2052">
        <v>1.3525</v>
      </c>
    </row>
    <row r="2053" spans="1:2" x14ac:dyDescent="0.2">
      <c r="A2053" s="57">
        <v>41836</v>
      </c>
      <c r="B2053">
        <v>1.3532</v>
      </c>
    </row>
    <row r="2054" spans="1:2" x14ac:dyDescent="0.2">
      <c r="A2054" s="57">
        <v>41835</v>
      </c>
      <c r="B2054">
        <v>1.3613</v>
      </c>
    </row>
    <row r="2055" spans="1:2" x14ac:dyDescent="0.2">
      <c r="A2055" s="57">
        <v>41834</v>
      </c>
      <c r="B2055">
        <v>1.3627</v>
      </c>
    </row>
    <row r="2056" spans="1:2" x14ac:dyDescent="0.2">
      <c r="A2056" s="57">
        <v>41833</v>
      </c>
    </row>
    <row r="2057" spans="1:2" x14ac:dyDescent="0.2">
      <c r="A2057" s="57">
        <v>41832</v>
      </c>
    </row>
    <row r="2058" spans="1:2" x14ac:dyDescent="0.2">
      <c r="A2058" s="57">
        <v>41831</v>
      </c>
      <c r="B2058">
        <v>1.3594999999999999</v>
      </c>
    </row>
    <row r="2059" spans="1:2" x14ac:dyDescent="0.2">
      <c r="A2059" s="57">
        <v>41830</v>
      </c>
      <c r="B2059">
        <v>1.3604000000000001</v>
      </c>
    </row>
    <row r="2060" spans="1:2" x14ac:dyDescent="0.2">
      <c r="A2060" s="57">
        <v>41829</v>
      </c>
      <c r="B2060">
        <v>1.3603000000000001</v>
      </c>
    </row>
    <row r="2061" spans="1:2" x14ac:dyDescent="0.2">
      <c r="A2061" s="57">
        <v>41828</v>
      </c>
      <c r="B2061">
        <v>1.3589</v>
      </c>
    </row>
    <row r="2062" spans="1:2" x14ac:dyDescent="0.2">
      <c r="A2062" s="57">
        <v>41827</v>
      </c>
      <c r="B2062">
        <v>1.3592</v>
      </c>
    </row>
    <row r="2063" spans="1:2" x14ac:dyDescent="0.2">
      <c r="A2063" s="57">
        <v>41826</v>
      </c>
    </row>
    <row r="2064" spans="1:2" x14ac:dyDescent="0.2">
      <c r="A2064" s="57">
        <v>41825</v>
      </c>
    </row>
    <row r="2065" spans="1:2" x14ac:dyDescent="0.2">
      <c r="A2065" s="57">
        <v>41824</v>
      </c>
      <c r="B2065">
        <v>1.3588</v>
      </c>
    </row>
    <row r="2066" spans="1:2" x14ac:dyDescent="0.2">
      <c r="A2066" s="57">
        <v>41823</v>
      </c>
      <c r="B2066">
        <v>1.3646</v>
      </c>
    </row>
    <row r="2067" spans="1:2" x14ac:dyDescent="0.2">
      <c r="A2067" s="57">
        <v>41822</v>
      </c>
      <c r="B2067">
        <v>1.3655999999999999</v>
      </c>
    </row>
    <row r="2068" spans="1:2" x14ac:dyDescent="0.2">
      <c r="A2068" s="57">
        <v>41821</v>
      </c>
      <c r="B2068">
        <v>1.3688</v>
      </c>
    </row>
    <row r="2069" spans="1:2" x14ac:dyDescent="0.2">
      <c r="A2069" s="57">
        <v>41820</v>
      </c>
      <c r="B2069">
        <v>1.3657999999999999</v>
      </c>
    </row>
    <row r="2070" spans="1:2" x14ac:dyDescent="0.2">
      <c r="A2070" s="57">
        <v>41819</v>
      </c>
    </row>
    <row r="2071" spans="1:2" x14ac:dyDescent="0.2">
      <c r="A2071" s="57">
        <v>41818</v>
      </c>
    </row>
    <row r="2072" spans="1:2" x14ac:dyDescent="0.2">
      <c r="A2072" s="57">
        <v>41817</v>
      </c>
      <c r="B2072">
        <v>1.3620000000000001</v>
      </c>
    </row>
    <row r="2073" spans="1:2" x14ac:dyDescent="0.2">
      <c r="A2073" s="57">
        <v>41816</v>
      </c>
      <c r="B2073">
        <v>1.3606</v>
      </c>
    </row>
    <row r="2074" spans="1:2" x14ac:dyDescent="0.2">
      <c r="A2074" s="57">
        <v>41815</v>
      </c>
      <c r="B2074">
        <v>1.3614999999999999</v>
      </c>
    </row>
    <row r="2075" spans="1:2" x14ac:dyDescent="0.2">
      <c r="A2075" s="57">
        <v>41814</v>
      </c>
      <c r="B2075">
        <v>1.3617999999999999</v>
      </c>
    </row>
    <row r="2076" spans="1:2" x14ac:dyDescent="0.2">
      <c r="A2076" s="57">
        <v>41813</v>
      </c>
      <c r="B2076">
        <v>1.3595999999999999</v>
      </c>
    </row>
    <row r="2077" spans="1:2" x14ac:dyDescent="0.2">
      <c r="A2077" s="57">
        <v>41812</v>
      </c>
    </row>
    <row r="2078" spans="1:2" x14ac:dyDescent="0.2">
      <c r="A2078" s="57">
        <v>41811</v>
      </c>
    </row>
    <row r="2079" spans="1:2" x14ac:dyDescent="0.2">
      <c r="A2079" s="57">
        <v>41810</v>
      </c>
      <c r="B2079">
        <v>1.3588</v>
      </c>
    </row>
    <row r="2080" spans="1:2" x14ac:dyDescent="0.2">
      <c r="A2080" s="57">
        <v>41809</v>
      </c>
      <c r="B2080">
        <v>1.3620000000000001</v>
      </c>
    </row>
    <row r="2081" spans="1:2" x14ac:dyDescent="0.2">
      <c r="A2081" s="57">
        <v>41808</v>
      </c>
      <c r="B2081">
        <v>1.3563000000000001</v>
      </c>
    </row>
    <row r="2082" spans="1:2" x14ac:dyDescent="0.2">
      <c r="A2082" s="57">
        <v>41807</v>
      </c>
      <c r="B2082">
        <v>1.3568</v>
      </c>
    </row>
    <row r="2083" spans="1:2" x14ac:dyDescent="0.2">
      <c r="A2083" s="57">
        <v>41806</v>
      </c>
      <c r="B2083">
        <v>1.3532</v>
      </c>
    </row>
    <row r="2084" spans="1:2" x14ac:dyDescent="0.2">
      <c r="A2084" s="57">
        <v>41805</v>
      </c>
    </row>
    <row r="2085" spans="1:2" x14ac:dyDescent="0.2">
      <c r="A2085" s="57">
        <v>41804</v>
      </c>
    </row>
    <row r="2086" spans="1:2" x14ac:dyDescent="0.2">
      <c r="A2086" s="57">
        <v>41803</v>
      </c>
      <c r="B2086">
        <v>1.3533999999999999</v>
      </c>
    </row>
    <row r="2087" spans="1:2" x14ac:dyDescent="0.2">
      <c r="A2087" s="57">
        <v>41802</v>
      </c>
      <c r="B2087">
        <v>1.3528</v>
      </c>
    </row>
    <row r="2088" spans="1:2" x14ac:dyDescent="0.2">
      <c r="A2088" s="57">
        <v>41801</v>
      </c>
      <c r="B2088">
        <v>1.3547</v>
      </c>
    </row>
    <row r="2089" spans="1:2" x14ac:dyDescent="0.2">
      <c r="A2089" s="57">
        <v>41800</v>
      </c>
      <c r="B2089">
        <v>1.3547</v>
      </c>
    </row>
    <row r="2090" spans="1:2" x14ac:dyDescent="0.2">
      <c r="A2090" s="57">
        <v>41799</v>
      </c>
      <c r="B2090">
        <v>1.3608</v>
      </c>
    </row>
    <row r="2091" spans="1:2" x14ac:dyDescent="0.2">
      <c r="A2091" s="57">
        <v>41798</v>
      </c>
    </row>
    <row r="2092" spans="1:2" x14ac:dyDescent="0.2">
      <c r="A2092" s="57">
        <v>41797</v>
      </c>
    </row>
    <row r="2093" spans="1:2" x14ac:dyDescent="0.2">
      <c r="A2093" s="57">
        <v>41796</v>
      </c>
      <c r="B2093">
        <v>1.3642000000000001</v>
      </c>
    </row>
    <row r="2094" spans="1:2" x14ac:dyDescent="0.2">
      <c r="A2094" s="57">
        <v>41795</v>
      </c>
      <c r="B2094">
        <v>1.3567</v>
      </c>
    </row>
    <row r="2095" spans="1:2" x14ac:dyDescent="0.2">
      <c r="A2095" s="57">
        <v>41794</v>
      </c>
      <c r="B2095">
        <v>1.3627</v>
      </c>
    </row>
    <row r="2096" spans="1:2" x14ac:dyDescent="0.2">
      <c r="A2096" s="57">
        <v>41793</v>
      </c>
      <c r="B2096">
        <v>1.3645</v>
      </c>
    </row>
    <row r="2097" spans="1:2" x14ac:dyDescent="0.2">
      <c r="A2097" s="57">
        <v>41792</v>
      </c>
      <c r="B2097">
        <v>1.3611</v>
      </c>
    </row>
    <row r="2098" spans="1:2" x14ac:dyDescent="0.2">
      <c r="A2098" s="57">
        <v>41791</v>
      </c>
    </row>
    <row r="2099" spans="1:2" x14ac:dyDescent="0.2">
      <c r="A2099" s="57">
        <v>41790</v>
      </c>
    </row>
    <row r="2100" spans="1:2" x14ac:dyDescent="0.2">
      <c r="A2100" s="57">
        <v>41789</v>
      </c>
      <c r="B2100">
        <v>1.3607</v>
      </c>
    </row>
    <row r="2101" spans="1:2" x14ac:dyDescent="0.2">
      <c r="A2101" s="57">
        <v>41788</v>
      </c>
      <c r="B2101">
        <v>1.3612</v>
      </c>
    </row>
    <row r="2102" spans="1:2" x14ac:dyDescent="0.2">
      <c r="A2102" s="57">
        <v>41787</v>
      </c>
      <c r="B2102">
        <v>1.3608</v>
      </c>
    </row>
    <row r="2103" spans="1:2" x14ac:dyDescent="0.2">
      <c r="A2103" s="57">
        <v>41786</v>
      </c>
      <c r="B2103">
        <v>1.3637999999999999</v>
      </c>
    </row>
    <row r="2104" spans="1:2" x14ac:dyDescent="0.2">
      <c r="A2104" s="57">
        <v>41785</v>
      </c>
      <c r="B2104">
        <v>1.3634999999999999</v>
      </c>
    </row>
    <row r="2105" spans="1:2" x14ac:dyDescent="0.2">
      <c r="A2105" s="57">
        <v>41784</v>
      </c>
    </row>
    <row r="2106" spans="1:2" x14ac:dyDescent="0.2">
      <c r="A2106" s="57">
        <v>41783</v>
      </c>
    </row>
    <row r="2107" spans="1:2" x14ac:dyDescent="0.2">
      <c r="A2107" s="57">
        <v>41782</v>
      </c>
      <c r="B2107">
        <v>1.363</v>
      </c>
    </row>
    <row r="2108" spans="1:2" x14ac:dyDescent="0.2">
      <c r="A2108" s="57">
        <v>41781</v>
      </c>
      <c r="B2108">
        <v>1.3668</v>
      </c>
    </row>
    <row r="2109" spans="1:2" x14ac:dyDescent="0.2">
      <c r="A2109" s="57">
        <v>41780</v>
      </c>
      <c r="B2109">
        <v>1.3675999999999999</v>
      </c>
    </row>
    <row r="2110" spans="1:2" x14ac:dyDescent="0.2">
      <c r="A2110" s="57">
        <v>41779</v>
      </c>
      <c r="B2110">
        <v>1.3702000000000001</v>
      </c>
    </row>
    <row r="2111" spans="1:2" x14ac:dyDescent="0.2">
      <c r="A2111" s="57">
        <v>41778</v>
      </c>
      <c r="B2111">
        <v>1.3714999999999999</v>
      </c>
    </row>
    <row r="2112" spans="1:2" x14ac:dyDescent="0.2">
      <c r="A2112" s="57">
        <v>41777</v>
      </c>
    </row>
    <row r="2113" spans="1:2" x14ac:dyDescent="0.2">
      <c r="A2113" s="57">
        <v>41776</v>
      </c>
    </row>
    <row r="2114" spans="1:2" x14ac:dyDescent="0.2">
      <c r="A2114" s="57">
        <v>41775</v>
      </c>
      <c r="B2114">
        <v>1.3695999999999999</v>
      </c>
    </row>
    <row r="2115" spans="1:2" x14ac:dyDescent="0.2">
      <c r="A2115" s="57">
        <v>41774</v>
      </c>
      <c r="B2115">
        <v>1.3658999999999999</v>
      </c>
    </row>
    <row r="2116" spans="1:2" x14ac:dyDescent="0.2">
      <c r="A2116" s="57">
        <v>41773</v>
      </c>
      <c r="B2116">
        <v>1.3718999999999999</v>
      </c>
    </row>
    <row r="2117" spans="1:2" x14ac:dyDescent="0.2">
      <c r="A2117" s="57">
        <v>41772</v>
      </c>
      <c r="B2117">
        <v>1.3703000000000001</v>
      </c>
    </row>
    <row r="2118" spans="1:2" x14ac:dyDescent="0.2">
      <c r="A2118" s="57">
        <v>41771</v>
      </c>
      <c r="B2118">
        <v>1.3765000000000001</v>
      </c>
    </row>
    <row r="2119" spans="1:2" x14ac:dyDescent="0.2">
      <c r="A2119" s="57">
        <v>41770</v>
      </c>
    </row>
    <row r="2120" spans="1:2" x14ac:dyDescent="0.2">
      <c r="A2120" s="57">
        <v>41769</v>
      </c>
    </row>
    <row r="2121" spans="1:2" x14ac:dyDescent="0.2">
      <c r="A2121" s="57">
        <v>41768</v>
      </c>
      <c r="B2121">
        <v>1.3781000000000001</v>
      </c>
    </row>
    <row r="2122" spans="1:2" x14ac:dyDescent="0.2">
      <c r="A2122" s="57">
        <v>41767</v>
      </c>
      <c r="B2122">
        <v>1.3953</v>
      </c>
    </row>
    <row r="2123" spans="1:2" x14ac:dyDescent="0.2">
      <c r="A2123" s="57">
        <v>41766</v>
      </c>
      <c r="B2123">
        <v>1.3927</v>
      </c>
    </row>
    <row r="2124" spans="1:2" x14ac:dyDescent="0.2">
      <c r="A2124" s="57">
        <v>41765</v>
      </c>
      <c r="B2124">
        <v>1.3945000000000001</v>
      </c>
    </row>
    <row r="2125" spans="1:2" x14ac:dyDescent="0.2">
      <c r="A2125" s="57">
        <v>41764</v>
      </c>
      <c r="B2125">
        <v>1.3874</v>
      </c>
    </row>
    <row r="2126" spans="1:2" x14ac:dyDescent="0.2">
      <c r="A2126" s="57">
        <v>41763</v>
      </c>
    </row>
    <row r="2127" spans="1:2" x14ac:dyDescent="0.2">
      <c r="A2127" s="57">
        <v>41762</v>
      </c>
    </row>
    <row r="2128" spans="1:2" x14ac:dyDescent="0.2">
      <c r="A2128" s="57">
        <v>41761</v>
      </c>
      <c r="B2128">
        <v>1.3862000000000001</v>
      </c>
    </row>
    <row r="2129" spans="1:2" x14ac:dyDescent="0.2">
      <c r="A2129" s="57">
        <v>41760</v>
      </c>
    </row>
    <row r="2130" spans="1:2" x14ac:dyDescent="0.2">
      <c r="A2130" s="57">
        <v>41759</v>
      </c>
      <c r="B2130">
        <v>1.385</v>
      </c>
    </row>
    <row r="2131" spans="1:2" x14ac:dyDescent="0.2">
      <c r="A2131" s="57">
        <v>41758</v>
      </c>
      <c r="B2131">
        <v>1.3826000000000001</v>
      </c>
    </row>
    <row r="2132" spans="1:2" x14ac:dyDescent="0.2">
      <c r="A2132" s="57">
        <v>41757</v>
      </c>
      <c r="B2132">
        <v>1.3861000000000001</v>
      </c>
    </row>
    <row r="2133" spans="1:2" x14ac:dyDescent="0.2">
      <c r="A2133" s="57">
        <v>41756</v>
      </c>
    </row>
    <row r="2134" spans="1:2" x14ac:dyDescent="0.2">
      <c r="A2134" s="57">
        <v>41755</v>
      </c>
    </row>
    <row r="2135" spans="1:2" x14ac:dyDescent="0.2">
      <c r="A2135" s="57">
        <v>41754</v>
      </c>
      <c r="B2135">
        <v>1.3831</v>
      </c>
    </row>
    <row r="2136" spans="1:2" x14ac:dyDescent="0.2">
      <c r="A2136" s="57">
        <v>41753</v>
      </c>
      <c r="B2136">
        <v>1.3819999999999999</v>
      </c>
    </row>
    <row r="2137" spans="1:2" x14ac:dyDescent="0.2">
      <c r="A2137" s="57">
        <v>41752</v>
      </c>
      <c r="B2137">
        <v>1.3834</v>
      </c>
    </row>
    <row r="2138" spans="1:2" x14ac:dyDescent="0.2">
      <c r="A2138" s="57">
        <v>41751</v>
      </c>
      <c r="B2138">
        <v>1.3816999999999999</v>
      </c>
    </row>
    <row r="2139" spans="1:2" x14ac:dyDescent="0.2">
      <c r="A2139" s="57">
        <v>41750</v>
      </c>
    </row>
    <row r="2140" spans="1:2" x14ac:dyDescent="0.2">
      <c r="A2140" s="57">
        <v>41749</v>
      </c>
    </row>
    <row r="2141" spans="1:2" x14ac:dyDescent="0.2">
      <c r="A2141" s="57">
        <v>41748</v>
      </c>
    </row>
    <row r="2142" spans="1:2" x14ac:dyDescent="0.2">
      <c r="A2142" s="57">
        <v>41747</v>
      </c>
    </row>
    <row r="2143" spans="1:2" x14ac:dyDescent="0.2">
      <c r="A2143" s="57">
        <v>41746</v>
      </c>
      <c r="B2143">
        <v>1.3855</v>
      </c>
    </row>
    <row r="2144" spans="1:2" x14ac:dyDescent="0.2">
      <c r="A2144" s="57">
        <v>41745</v>
      </c>
      <c r="B2144">
        <v>1.3839999999999999</v>
      </c>
    </row>
    <row r="2145" spans="1:2" x14ac:dyDescent="0.2">
      <c r="A2145" s="57">
        <v>41744</v>
      </c>
      <c r="B2145">
        <v>1.3803000000000001</v>
      </c>
    </row>
    <row r="2146" spans="1:2" x14ac:dyDescent="0.2">
      <c r="A2146" s="57">
        <v>41743</v>
      </c>
      <c r="B2146">
        <v>1.3827</v>
      </c>
    </row>
    <row r="2147" spans="1:2" x14ac:dyDescent="0.2">
      <c r="A2147" s="57">
        <v>41742</v>
      </c>
    </row>
    <row r="2148" spans="1:2" x14ac:dyDescent="0.2">
      <c r="A2148" s="57">
        <v>41741</v>
      </c>
    </row>
    <row r="2149" spans="1:2" x14ac:dyDescent="0.2">
      <c r="A2149" s="57">
        <v>41740</v>
      </c>
      <c r="B2149">
        <v>1.3872</v>
      </c>
    </row>
    <row r="2150" spans="1:2" x14ac:dyDescent="0.2">
      <c r="A2150" s="57">
        <v>41739</v>
      </c>
      <c r="B2150">
        <v>1.3867</v>
      </c>
    </row>
    <row r="2151" spans="1:2" x14ac:dyDescent="0.2">
      <c r="A2151" s="57">
        <v>41738</v>
      </c>
      <c r="B2151">
        <v>1.3794</v>
      </c>
    </row>
    <row r="2152" spans="1:2" x14ac:dyDescent="0.2">
      <c r="A2152" s="57">
        <v>41737</v>
      </c>
      <c r="B2152">
        <v>1.3774</v>
      </c>
    </row>
    <row r="2153" spans="1:2" x14ac:dyDescent="0.2">
      <c r="A2153" s="57">
        <v>41736</v>
      </c>
      <c r="B2153">
        <v>1.3723000000000001</v>
      </c>
    </row>
    <row r="2154" spans="1:2" x14ac:dyDescent="0.2">
      <c r="A2154" s="57">
        <v>41735</v>
      </c>
    </row>
    <row r="2155" spans="1:2" x14ac:dyDescent="0.2">
      <c r="A2155" s="57">
        <v>41734</v>
      </c>
    </row>
    <row r="2156" spans="1:2" x14ac:dyDescent="0.2">
      <c r="A2156" s="57">
        <v>41733</v>
      </c>
      <c r="B2156">
        <v>1.37</v>
      </c>
    </row>
    <row r="2157" spans="1:2" x14ac:dyDescent="0.2">
      <c r="A2157" s="57">
        <v>41732</v>
      </c>
      <c r="B2157">
        <v>1.3771</v>
      </c>
    </row>
    <row r="2158" spans="1:2" x14ac:dyDescent="0.2">
      <c r="A2158" s="57">
        <v>41731</v>
      </c>
      <c r="B2158">
        <v>1.3794999999999999</v>
      </c>
    </row>
    <row r="2159" spans="1:2" x14ac:dyDescent="0.2">
      <c r="A2159" s="57">
        <v>41730</v>
      </c>
      <c r="B2159">
        <v>1.379</v>
      </c>
    </row>
    <row r="2160" spans="1:2" x14ac:dyDescent="0.2">
      <c r="A2160" s="57">
        <v>41729</v>
      </c>
      <c r="B2160">
        <v>1.3788</v>
      </c>
    </row>
    <row r="2161" spans="1:2" x14ac:dyDescent="0.2">
      <c r="A2161" s="57">
        <v>41728</v>
      </c>
    </row>
    <row r="2162" spans="1:2" x14ac:dyDescent="0.2">
      <c r="A2162" s="57">
        <v>41727</v>
      </c>
    </row>
    <row r="2163" spans="1:2" x14ac:dyDescent="0.2">
      <c r="A2163" s="57">
        <v>41726</v>
      </c>
      <c r="B2163">
        <v>1.3758999999999999</v>
      </c>
    </row>
    <row r="2164" spans="1:2" x14ac:dyDescent="0.2">
      <c r="A2164" s="57">
        <v>41725</v>
      </c>
      <c r="B2164">
        <v>1.3757999999999999</v>
      </c>
    </row>
    <row r="2165" spans="1:2" x14ac:dyDescent="0.2">
      <c r="A2165" s="57">
        <v>41724</v>
      </c>
      <c r="B2165">
        <v>1.3791</v>
      </c>
    </row>
    <row r="2166" spans="1:2" x14ac:dyDescent="0.2">
      <c r="A2166" s="57">
        <v>41723</v>
      </c>
      <c r="B2166">
        <v>1.3789</v>
      </c>
    </row>
    <row r="2167" spans="1:2" x14ac:dyDescent="0.2">
      <c r="A2167" s="57">
        <v>41722</v>
      </c>
      <c r="B2167">
        <v>1.3774</v>
      </c>
    </row>
    <row r="2168" spans="1:2" x14ac:dyDescent="0.2">
      <c r="A2168" s="57">
        <v>41721</v>
      </c>
    </row>
    <row r="2169" spans="1:2" x14ac:dyDescent="0.2">
      <c r="A2169" s="57">
        <v>41720</v>
      </c>
    </row>
    <row r="2170" spans="1:2" x14ac:dyDescent="0.2">
      <c r="A2170" s="57">
        <v>41719</v>
      </c>
      <c r="B2170">
        <v>1.3779999999999999</v>
      </c>
    </row>
    <row r="2171" spans="1:2" x14ac:dyDescent="0.2">
      <c r="A2171" s="57">
        <v>41718</v>
      </c>
      <c r="B2171">
        <v>1.3762000000000001</v>
      </c>
    </row>
    <row r="2172" spans="1:2" x14ac:dyDescent="0.2">
      <c r="A2172" s="57">
        <v>41717</v>
      </c>
      <c r="B2172">
        <v>1.3913</v>
      </c>
    </row>
    <row r="2173" spans="1:2" x14ac:dyDescent="0.2">
      <c r="A2173" s="57">
        <v>41716</v>
      </c>
      <c r="B2173">
        <v>1.3902000000000001</v>
      </c>
    </row>
    <row r="2174" spans="1:2" x14ac:dyDescent="0.2">
      <c r="A2174" s="57">
        <v>41715</v>
      </c>
      <c r="B2174">
        <v>1.3906000000000001</v>
      </c>
    </row>
    <row r="2175" spans="1:2" x14ac:dyDescent="0.2">
      <c r="A2175" s="57">
        <v>41714</v>
      </c>
    </row>
    <row r="2176" spans="1:2" x14ac:dyDescent="0.2">
      <c r="A2176" s="57">
        <v>41713</v>
      </c>
    </row>
    <row r="2177" spans="1:2" x14ac:dyDescent="0.2">
      <c r="A2177" s="57">
        <v>41712</v>
      </c>
      <c r="B2177">
        <v>1.3884000000000001</v>
      </c>
    </row>
    <row r="2178" spans="1:2" x14ac:dyDescent="0.2">
      <c r="A2178" s="57">
        <v>41711</v>
      </c>
      <c r="B2178">
        <v>1.3942000000000001</v>
      </c>
    </row>
    <row r="2179" spans="1:2" x14ac:dyDescent="0.2">
      <c r="A2179" s="57">
        <v>41710</v>
      </c>
      <c r="B2179">
        <v>1.3887</v>
      </c>
    </row>
    <row r="2180" spans="1:2" x14ac:dyDescent="0.2">
      <c r="A2180" s="57">
        <v>41709</v>
      </c>
      <c r="B2180">
        <v>1.385</v>
      </c>
    </row>
    <row r="2181" spans="1:2" x14ac:dyDescent="0.2">
      <c r="A2181" s="57">
        <v>41708</v>
      </c>
      <c r="B2181">
        <v>1.3880999999999999</v>
      </c>
    </row>
    <row r="2182" spans="1:2" x14ac:dyDescent="0.2">
      <c r="A2182" s="57">
        <v>41707</v>
      </c>
    </row>
    <row r="2183" spans="1:2" x14ac:dyDescent="0.2">
      <c r="A2183" s="57">
        <v>41706</v>
      </c>
    </row>
    <row r="2184" spans="1:2" x14ac:dyDescent="0.2">
      <c r="A2184" s="57">
        <v>41705</v>
      </c>
      <c r="B2184">
        <v>1.3894</v>
      </c>
    </row>
    <row r="2185" spans="1:2" x14ac:dyDescent="0.2">
      <c r="A2185" s="57">
        <v>41704</v>
      </c>
      <c r="B2185">
        <v>1.3745000000000001</v>
      </c>
    </row>
    <row r="2186" spans="1:2" x14ac:dyDescent="0.2">
      <c r="A2186" s="57">
        <v>41703</v>
      </c>
      <c r="B2186">
        <v>1.3732</v>
      </c>
    </row>
    <row r="2187" spans="1:2" x14ac:dyDescent="0.2">
      <c r="A2187" s="57">
        <v>41702</v>
      </c>
      <c r="B2187">
        <v>1.3768</v>
      </c>
    </row>
    <row r="2188" spans="1:2" x14ac:dyDescent="0.2">
      <c r="A2188" s="57">
        <v>41701</v>
      </c>
      <c r="B2188">
        <v>1.3768</v>
      </c>
    </row>
    <row r="2189" spans="1:2" x14ac:dyDescent="0.2">
      <c r="A2189" s="57">
        <v>41700</v>
      </c>
    </row>
    <row r="2190" spans="1:2" x14ac:dyDescent="0.2">
      <c r="A2190" s="57">
        <v>41699</v>
      </c>
    </row>
    <row r="2191" spans="1:2" x14ac:dyDescent="0.2">
      <c r="A2191" s="57">
        <v>41698</v>
      </c>
      <c r="B2191">
        <v>1.3813</v>
      </c>
    </row>
    <row r="2192" spans="1:2" x14ac:dyDescent="0.2">
      <c r="A2192" s="57">
        <v>41697</v>
      </c>
      <c r="B2192">
        <v>1.3655999999999999</v>
      </c>
    </row>
    <row r="2193" spans="1:2" x14ac:dyDescent="0.2">
      <c r="A2193" s="57">
        <v>41696</v>
      </c>
      <c r="B2193">
        <v>1.3726</v>
      </c>
    </row>
    <row r="2194" spans="1:2" x14ac:dyDescent="0.2">
      <c r="A2194" s="57">
        <v>41695</v>
      </c>
      <c r="B2194">
        <v>1.3754</v>
      </c>
    </row>
    <row r="2195" spans="1:2" x14ac:dyDescent="0.2">
      <c r="A2195" s="57">
        <v>41694</v>
      </c>
      <c r="B2195">
        <v>1.3734999999999999</v>
      </c>
    </row>
    <row r="2196" spans="1:2" x14ac:dyDescent="0.2">
      <c r="A2196" s="57">
        <v>41693</v>
      </c>
    </row>
    <row r="2197" spans="1:2" x14ac:dyDescent="0.2">
      <c r="A2197" s="57">
        <v>41692</v>
      </c>
    </row>
    <row r="2198" spans="1:2" x14ac:dyDescent="0.2">
      <c r="A2198" s="57">
        <v>41691</v>
      </c>
      <c r="B2198">
        <v>1.3707</v>
      </c>
    </row>
    <row r="2199" spans="1:2" x14ac:dyDescent="0.2">
      <c r="A2199" s="57">
        <v>41690</v>
      </c>
      <c r="B2199">
        <v>1.3706</v>
      </c>
    </row>
    <row r="2200" spans="1:2" x14ac:dyDescent="0.2">
      <c r="A2200" s="57">
        <v>41689</v>
      </c>
      <c r="B2200">
        <v>1.3745000000000001</v>
      </c>
    </row>
    <row r="2201" spans="1:2" x14ac:dyDescent="0.2">
      <c r="A2201" s="57">
        <v>41688</v>
      </c>
      <c r="B2201">
        <v>1.3731</v>
      </c>
    </row>
    <row r="2202" spans="1:2" x14ac:dyDescent="0.2">
      <c r="A2202" s="57">
        <v>41687</v>
      </c>
      <c r="B2202">
        <v>1.3698999999999999</v>
      </c>
    </row>
    <row r="2203" spans="1:2" x14ac:dyDescent="0.2">
      <c r="A2203" s="57">
        <v>41686</v>
      </c>
    </row>
    <row r="2204" spans="1:2" x14ac:dyDescent="0.2">
      <c r="A2204" s="57">
        <v>41685</v>
      </c>
    </row>
    <row r="2205" spans="1:2" x14ac:dyDescent="0.2">
      <c r="A2205" s="57">
        <v>41684</v>
      </c>
      <c r="B2205">
        <v>1.3707</v>
      </c>
    </row>
    <row r="2206" spans="1:2" x14ac:dyDescent="0.2">
      <c r="A2206" s="57">
        <v>41683</v>
      </c>
      <c r="B2206">
        <v>1.3674999999999999</v>
      </c>
    </row>
    <row r="2207" spans="1:2" x14ac:dyDescent="0.2">
      <c r="A2207" s="57">
        <v>41682</v>
      </c>
      <c r="B2207">
        <v>1.3573</v>
      </c>
    </row>
    <row r="2208" spans="1:2" x14ac:dyDescent="0.2">
      <c r="A2208" s="57">
        <v>41681</v>
      </c>
      <c r="B2208">
        <v>1.3675999999999999</v>
      </c>
    </row>
    <row r="2209" spans="1:2" x14ac:dyDescent="0.2">
      <c r="A2209" s="57">
        <v>41680</v>
      </c>
      <c r="B2209">
        <v>1.3637999999999999</v>
      </c>
    </row>
    <row r="2210" spans="1:2" x14ac:dyDescent="0.2">
      <c r="A2210" s="57">
        <v>41679</v>
      </c>
    </row>
    <row r="2211" spans="1:2" x14ac:dyDescent="0.2">
      <c r="A2211" s="57">
        <v>41678</v>
      </c>
    </row>
    <row r="2212" spans="1:2" x14ac:dyDescent="0.2">
      <c r="A2212" s="57">
        <v>41677</v>
      </c>
      <c r="B2212">
        <v>1.3573999999999999</v>
      </c>
    </row>
    <row r="2213" spans="1:2" x14ac:dyDescent="0.2">
      <c r="A2213" s="57">
        <v>41676</v>
      </c>
      <c r="B2213">
        <v>1.3494999999999999</v>
      </c>
    </row>
    <row r="2214" spans="1:2" x14ac:dyDescent="0.2">
      <c r="A2214" s="57">
        <v>41675</v>
      </c>
      <c r="B2214">
        <v>1.3543000000000001</v>
      </c>
    </row>
    <row r="2215" spans="1:2" x14ac:dyDescent="0.2">
      <c r="A2215" s="57">
        <v>41674</v>
      </c>
      <c r="B2215">
        <v>1.3519000000000001</v>
      </c>
    </row>
    <row r="2216" spans="1:2" x14ac:dyDescent="0.2">
      <c r="A2216" s="57">
        <v>41673</v>
      </c>
      <c r="B2216">
        <v>1.3498000000000001</v>
      </c>
    </row>
    <row r="2217" spans="1:2" x14ac:dyDescent="0.2">
      <c r="A2217" s="57">
        <v>41672</v>
      </c>
    </row>
    <row r="2218" spans="1:2" x14ac:dyDescent="0.2">
      <c r="A2218" s="57">
        <v>41671</v>
      </c>
    </row>
    <row r="2219" spans="1:2" x14ac:dyDescent="0.2">
      <c r="A2219" s="57">
        <v>41670</v>
      </c>
      <c r="B2219">
        <v>1.3515999999999999</v>
      </c>
    </row>
    <row r="2220" spans="1:2" x14ac:dyDescent="0.2">
      <c r="A2220" s="57">
        <v>41669</v>
      </c>
      <c r="B2220">
        <v>1.3573999999999999</v>
      </c>
    </row>
    <row r="2221" spans="1:2" x14ac:dyDescent="0.2">
      <c r="A2221" s="57">
        <v>41668</v>
      </c>
      <c r="B2221">
        <v>1.3608</v>
      </c>
    </row>
    <row r="2222" spans="1:2" x14ac:dyDescent="0.2">
      <c r="A2222" s="57">
        <v>41667</v>
      </c>
      <c r="B2222">
        <v>1.3649</v>
      </c>
    </row>
    <row r="2223" spans="1:2" x14ac:dyDescent="0.2">
      <c r="A2223" s="57">
        <v>41666</v>
      </c>
      <c r="B2223">
        <v>1.3657999999999999</v>
      </c>
    </row>
    <row r="2224" spans="1:2" x14ac:dyDescent="0.2">
      <c r="A2224" s="57">
        <v>41665</v>
      </c>
    </row>
    <row r="2225" spans="1:2" x14ac:dyDescent="0.2">
      <c r="A2225" s="57">
        <v>41664</v>
      </c>
    </row>
    <row r="2226" spans="1:2" x14ac:dyDescent="0.2">
      <c r="A2226" s="57">
        <v>41663</v>
      </c>
      <c r="B2226">
        <v>1.3687</v>
      </c>
    </row>
    <row r="2227" spans="1:2" x14ac:dyDescent="0.2">
      <c r="A2227" s="57">
        <v>41662</v>
      </c>
      <c r="B2227">
        <v>1.3638999999999999</v>
      </c>
    </row>
    <row r="2228" spans="1:2" x14ac:dyDescent="0.2">
      <c r="A2228" s="57">
        <v>41661</v>
      </c>
      <c r="B2228">
        <v>1.3566</v>
      </c>
    </row>
    <row r="2229" spans="1:2" x14ac:dyDescent="0.2">
      <c r="A2229" s="57">
        <v>41660</v>
      </c>
      <c r="B2229">
        <v>1.3526</v>
      </c>
    </row>
    <row r="2230" spans="1:2" x14ac:dyDescent="0.2">
      <c r="A2230" s="57">
        <v>41659</v>
      </c>
      <c r="B2230">
        <v>1.3566</v>
      </c>
    </row>
    <row r="2231" spans="1:2" x14ac:dyDescent="0.2">
      <c r="A2231" s="57">
        <v>41658</v>
      </c>
    </row>
    <row r="2232" spans="1:2" x14ac:dyDescent="0.2">
      <c r="A2232" s="57">
        <v>41657</v>
      </c>
    </row>
    <row r="2233" spans="1:2" x14ac:dyDescent="0.2">
      <c r="A2233" s="57">
        <v>41656</v>
      </c>
      <c r="B2233">
        <v>1.3584000000000001</v>
      </c>
    </row>
    <row r="2234" spans="1:2" x14ac:dyDescent="0.2">
      <c r="A2234" s="57">
        <v>41655</v>
      </c>
      <c r="B2234">
        <v>1.3596999999999999</v>
      </c>
    </row>
    <row r="2235" spans="1:2" x14ac:dyDescent="0.2">
      <c r="A2235" s="57">
        <v>41654</v>
      </c>
      <c r="B2235">
        <v>1.3606</v>
      </c>
    </row>
    <row r="2236" spans="1:2" x14ac:dyDescent="0.2">
      <c r="A2236" s="57">
        <v>41653</v>
      </c>
      <c r="B2236">
        <v>1.3667</v>
      </c>
    </row>
    <row r="2237" spans="1:2" x14ac:dyDescent="0.2">
      <c r="A2237" s="57">
        <v>41652</v>
      </c>
      <c r="B2237">
        <v>1.3653999999999999</v>
      </c>
    </row>
    <row r="2238" spans="1:2" x14ac:dyDescent="0.2">
      <c r="A2238" s="57">
        <v>41651</v>
      </c>
    </row>
    <row r="2239" spans="1:2" x14ac:dyDescent="0.2">
      <c r="A2239" s="57">
        <v>41650</v>
      </c>
    </row>
    <row r="2240" spans="1:2" x14ac:dyDescent="0.2">
      <c r="A2240" s="57">
        <v>41649</v>
      </c>
      <c r="B2240">
        <v>1.3587</v>
      </c>
    </row>
    <row r="2241" spans="1:2" x14ac:dyDescent="0.2">
      <c r="A2241" s="57">
        <v>41648</v>
      </c>
      <c r="B2241">
        <v>1.3612</v>
      </c>
    </row>
    <row r="2242" spans="1:2" x14ac:dyDescent="0.2">
      <c r="A2242" s="57">
        <v>41647</v>
      </c>
      <c r="B2242">
        <v>1.3593999999999999</v>
      </c>
    </row>
    <row r="2243" spans="1:2" x14ac:dyDescent="0.2">
      <c r="A2243" s="57">
        <v>41646</v>
      </c>
      <c r="B2243">
        <v>1.3641000000000001</v>
      </c>
    </row>
    <row r="2244" spans="1:2" x14ac:dyDescent="0.2">
      <c r="A2244" s="57">
        <v>41645</v>
      </c>
      <c r="B2244">
        <v>1.3602000000000001</v>
      </c>
    </row>
    <row r="2245" spans="1:2" x14ac:dyDescent="0.2">
      <c r="A2245" s="57">
        <v>41644</v>
      </c>
    </row>
    <row r="2246" spans="1:2" x14ac:dyDescent="0.2">
      <c r="A2246" s="57">
        <v>41643</v>
      </c>
    </row>
    <row r="2247" spans="1:2" x14ac:dyDescent="0.2">
      <c r="A2247" s="57">
        <v>41642</v>
      </c>
      <c r="B2247">
        <v>1.3633999999999999</v>
      </c>
    </row>
    <row r="2248" spans="1:2" x14ac:dyDescent="0.2">
      <c r="A2248" s="57">
        <v>41641</v>
      </c>
      <c r="B2248">
        <v>1.3657999999999999</v>
      </c>
    </row>
    <row r="2249" spans="1:2" x14ac:dyDescent="0.2">
      <c r="A2249" s="57">
        <v>41640</v>
      </c>
    </row>
    <row r="2250" spans="1:2" x14ac:dyDescent="0.2">
      <c r="A2250" s="57">
        <v>41639</v>
      </c>
      <c r="B2250">
        <v>1.3791</v>
      </c>
    </row>
    <row r="2251" spans="1:2" x14ac:dyDescent="0.2">
      <c r="A2251" s="57">
        <v>41638</v>
      </c>
      <c r="B2251">
        <v>1.3783000000000001</v>
      </c>
    </row>
    <row r="2252" spans="1:2" x14ac:dyDescent="0.2">
      <c r="A2252" s="57">
        <v>41637</v>
      </c>
    </row>
    <row r="2253" spans="1:2" x14ac:dyDescent="0.2">
      <c r="A2253" s="57">
        <v>41636</v>
      </c>
    </row>
    <row r="2254" spans="1:2" x14ac:dyDescent="0.2">
      <c r="A2254" s="57">
        <v>41635</v>
      </c>
      <c r="B2254">
        <v>1.3814</v>
      </c>
    </row>
    <row r="2255" spans="1:2" x14ac:dyDescent="0.2">
      <c r="A2255" s="57">
        <v>41634</v>
      </c>
    </row>
    <row r="2256" spans="1:2" x14ac:dyDescent="0.2">
      <c r="A2256" s="57">
        <v>41633</v>
      </c>
    </row>
    <row r="2257" spans="1:2" x14ac:dyDescent="0.2">
      <c r="A2257" s="57">
        <v>41632</v>
      </c>
      <c r="B2257">
        <v>1.3684000000000001</v>
      </c>
    </row>
    <row r="2258" spans="1:2" x14ac:dyDescent="0.2">
      <c r="A2258" s="57">
        <v>41631</v>
      </c>
      <c r="B2258">
        <v>1.3702000000000001</v>
      </c>
    </row>
    <row r="2259" spans="1:2" x14ac:dyDescent="0.2">
      <c r="A2259" s="57">
        <v>41630</v>
      </c>
    </row>
    <row r="2260" spans="1:2" x14ac:dyDescent="0.2">
      <c r="A2260" s="57">
        <v>41629</v>
      </c>
    </row>
    <row r="2261" spans="1:2" x14ac:dyDescent="0.2">
      <c r="A2261" s="57">
        <v>41628</v>
      </c>
      <c r="B2261">
        <v>1.3654999999999999</v>
      </c>
    </row>
    <row r="2262" spans="1:2" x14ac:dyDescent="0.2">
      <c r="A2262" s="57">
        <v>41627</v>
      </c>
      <c r="B2262">
        <v>1.3667</v>
      </c>
    </row>
    <row r="2263" spans="1:2" x14ac:dyDescent="0.2">
      <c r="A2263" s="57">
        <v>41626</v>
      </c>
      <c r="B2263">
        <v>1.3749</v>
      </c>
    </row>
    <row r="2264" spans="1:2" x14ac:dyDescent="0.2">
      <c r="A2264" s="57">
        <v>41625</v>
      </c>
      <c r="B2264">
        <v>1.3749</v>
      </c>
    </row>
    <row r="2265" spans="1:2" x14ac:dyDescent="0.2">
      <c r="A2265" s="57">
        <v>41624</v>
      </c>
      <c r="B2265">
        <v>1.3775999999999999</v>
      </c>
    </row>
    <row r="2266" spans="1:2" x14ac:dyDescent="0.2">
      <c r="A2266" s="57">
        <v>41623</v>
      </c>
    </row>
    <row r="2267" spans="1:2" x14ac:dyDescent="0.2">
      <c r="A2267" s="57">
        <v>41622</v>
      </c>
    </row>
    <row r="2268" spans="1:2" x14ac:dyDescent="0.2">
      <c r="A2268" s="57">
        <v>41621</v>
      </c>
      <c r="B2268">
        <v>1.3727</v>
      </c>
    </row>
    <row r="2269" spans="1:2" x14ac:dyDescent="0.2">
      <c r="A2269" s="57">
        <v>41620</v>
      </c>
      <c r="B2269">
        <v>1.3774999999999999</v>
      </c>
    </row>
    <row r="2270" spans="1:2" x14ac:dyDescent="0.2">
      <c r="A2270" s="57">
        <v>41619</v>
      </c>
      <c r="B2270">
        <v>1.3767</v>
      </c>
    </row>
    <row r="2271" spans="1:2" x14ac:dyDescent="0.2">
      <c r="A2271" s="57">
        <v>41618</v>
      </c>
      <c r="B2271">
        <v>1.375</v>
      </c>
    </row>
    <row r="2272" spans="1:2" x14ac:dyDescent="0.2">
      <c r="A2272" s="57">
        <v>41617</v>
      </c>
      <c r="B2272">
        <v>1.3722000000000001</v>
      </c>
    </row>
    <row r="2273" spans="1:2" x14ac:dyDescent="0.2">
      <c r="A2273" s="57">
        <v>41616</v>
      </c>
    </row>
    <row r="2274" spans="1:2" x14ac:dyDescent="0.2">
      <c r="A2274" s="57">
        <v>41615</v>
      </c>
    </row>
    <row r="2275" spans="1:2" x14ac:dyDescent="0.2">
      <c r="A2275" s="57">
        <v>41614</v>
      </c>
      <c r="B2275">
        <v>1.3661000000000001</v>
      </c>
    </row>
    <row r="2276" spans="1:2" x14ac:dyDescent="0.2">
      <c r="A2276" s="57">
        <v>41613</v>
      </c>
      <c r="B2276">
        <v>1.3593999999999999</v>
      </c>
    </row>
    <row r="2277" spans="1:2" x14ac:dyDescent="0.2">
      <c r="A2277" s="57">
        <v>41612</v>
      </c>
      <c r="B2277">
        <v>1.3592</v>
      </c>
    </row>
    <row r="2278" spans="1:2" x14ac:dyDescent="0.2">
      <c r="A2278" s="57">
        <v>41611</v>
      </c>
      <c r="B2278">
        <v>1.3577999999999999</v>
      </c>
    </row>
    <row r="2279" spans="1:2" x14ac:dyDescent="0.2">
      <c r="A2279" s="57">
        <v>41610</v>
      </c>
      <c r="B2279">
        <v>1.3535999999999999</v>
      </c>
    </row>
    <row r="2280" spans="1:2" x14ac:dyDescent="0.2">
      <c r="A2280" s="57">
        <v>41609</v>
      </c>
    </row>
    <row r="2281" spans="1:2" x14ac:dyDescent="0.2">
      <c r="A2281" s="57">
        <v>41608</v>
      </c>
    </row>
    <row r="2282" spans="1:2" x14ac:dyDescent="0.2">
      <c r="A2282" s="57">
        <v>41607</v>
      </c>
      <c r="B2282">
        <v>1.3611</v>
      </c>
    </row>
    <row r="2283" spans="1:2" x14ac:dyDescent="0.2">
      <c r="A2283" s="57">
        <v>41606</v>
      </c>
      <c r="B2283">
        <v>1.3592</v>
      </c>
    </row>
    <row r="2284" spans="1:2" x14ac:dyDescent="0.2">
      <c r="A2284" s="57">
        <v>41605</v>
      </c>
      <c r="B2284">
        <v>1.3595999999999999</v>
      </c>
    </row>
    <row r="2285" spans="1:2" x14ac:dyDescent="0.2">
      <c r="A2285" s="57">
        <v>41604</v>
      </c>
      <c r="B2285">
        <v>1.3547</v>
      </c>
    </row>
    <row r="2286" spans="1:2" x14ac:dyDescent="0.2">
      <c r="A2286" s="57">
        <v>41603</v>
      </c>
      <c r="B2286">
        <v>1.3513999999999999</v>
      </c>
    </row>
    <row r="2287" spans="1:2" x14ac:dyDescent="0.2">
      <c r="A2287" s="57">
        <v>41602</v>
      </c>
    </row>
    <row r="2288" spans="1:2" x14ac:dyDescent="0.2">
      <c r="A2288" s="57">
        <v>41601</v>
      </c>
    </row>
    <row r="2289" spans="1:2" x14ac:dyDescent="0.2">
      <c r="A2289" s="57">
        <v>41600</v>
      </c>
      <c r="B2289">
        <v>1.3517999999999999</v>
      </c>
    </row>
    <row r="2290" spans="1:2" x14ac:dyDescent="0.2">
      <c r="A2290" s="57">
        <v>41599</v>
      </c>
      <c r="B2290">
        <v>1.3472</v>
      </c>
    </row>
    <row r="2291" spans="1:2" x14ac:dyDescent="0.2">
      <c r="A2291" s="57">
        <v>41598</v>
      </c>
      <c r="B2291">
        <v>1.3527</v>
      </c>
    </row>
    <row r="2292" spans="1:2" x14ac:dyDescent="0.2">
      <c r="A2292" s="57">
        <v>41597</v>
      </c>
      <c r="B2292">
        <v>1.3502000000000001</v>
      </c>
    </row>
    <row r="2293" spans="1:2" x14ac:dyDescent="0.2">
      <c r="A2293" s="57">
        <v>41596</v>
      </c>
      <c r="B2293">
        <v>1.3516999999999999</v>
      </c>
    </row>
    <row r="2294" spans="1:2" x14ac:dyDescent="0.2">
      <c r="A2294" s="57">
        <v>41595</v>
      </c>
    </row>
    <row r="2295" spans="1:2" x14ac:dyDescent="0.2">
      <c r="A2295" s="57">
        <v>41594</v>
      </c>
    </row>
    <row r="2296" spans="1:2" x14ac:dyDescent="0.2">
      <c r="A2296" s="57">
        <v>41593</v>
      </c>
      <c r="B2296">
        <v>1.3460000000000001</v>
      </c>
    </row>
    <row r="2297" spans="1:2" x14ac:dyDescent="0.2">
      <c r="A2297" s="57">
        <v>41592</v>
      </c>
      <c r="B2297">
        <v>1.3435999999999999</v>
      </c>
    </row>
    <row r="2298" spans="1:2" x14ac:dyDescent="0.2">
      <c r="A2298" s="57">
        <v>41591</v>
      </c>
      <c r="B2298">
        <v>1.3414999999999999</v>
      </c>
    </row>
    <row r="2299" spans="1:2" x14ac:dyDescent="0.2">
      <c r="A2299" s="57">
        <v>41590</v>
      </c>
      <c r="B2299">
        <v>1.3431999999999999</v>
      </c>
    </row>
    <row r="2300" spans="1:2" x14ac:dyDescent="0.2">
      <c r="A2300" s="57">
        <v>41589</v>
      </c>
      <c r="B2300">
        <v>1.3393999999999999</v>
      </c>
    </row>
    <row r="2301" spans="1:2" x14ac:dyDescent="0.2">
      <c r="A2301" s="57">
        <v>41588</v>
      </c>
    </row>
    <row r="2302" spans="1:2" x14ac:dyDescent="0.2">
      <c r="A2302" s="57">
        <v>41587</v>
      </c>
    </row>
    <row r="2303" spans="1:2" x14ac:dyDescent="0.2">
      <c r="A2303" s="57">
        <v>41586</v>
      </c>
      <c r="B2303">
        <v>1.3431</v>
      </c>
    </row>
    <row r="2304" spans="1:2" x14ac:dyDescent="0.2">
      <c r="A2304" s="57">
        <v>41585</v>
      </c>
      <c r="B2304">
        <v>1.3365</v>
      </c>
    </row>
    <row r="2305" spans="1:2" x14ac:dyDescent="0.2">
      <c r="A2305" s="57">
        <v>41584</v>
      </c>
      <c r="B2305">
        <v>1.3516999999999999</v>
      </c>
    </row>
    <row r="2306" spans="1:2" x14ac:dyDescent="0.2">
      <c r="A2306" s="57">
        <v>41583</v>
      </c>
      <c r="B2306">
        <v>1.3493999999999999</v>
      </c>
    </row>
    <row r="2307" spans="1:2" x14ac:dyDescent="0.2">
      <c r="A2307" s="57">
        <v>41582</v>
      </c>
      <c r="B2307">
        <v>1.3506</v>
      </c>
    </row>
    <row r="2308" spans="1:2" x14ac:dyDescent="0.2">
      <c r="A2308" s="57">
        <v>41581</v>
      </c>
    </row>
    <row r="2309" spans="1:2" x14ac:dyDescent="0.2">
      <c r="A2309" s="57">
        <v>41580</v>
      </c>
    </row>
    <row r="2310" spans="1:2" x14ac:dyDescent="0.2">
      <c r="A2310" s="57">
        <v>41579</v>
      </c>
      <c r="B2310">
        <v>1.3505</v>
      </c>
    </row>
    <row r="2311" spans="1:2" x14ac:dyDescent="0.2">
      <c r="A2311" s="57">
        <v>41578</v>
      </c>
      <c r="B2311">
        <v>1.3641000000000001</v>
      </c>
    </row>
    <row r="2312" spans="1:2" x14ac:dyDescent="0.2">
      <c r="A2312" s="57">
        <v>41577</v>
      </c>
      <c r="B2312">
        <v>1.3754999999999999</v>
      </c>
    </row>
    <row r="2313" spans="1:2" x14ac:dyDescent="0.2">
      <c r="A2313" s="57">
        <v>41576</v>
      </c>
      <c r="B2313">
        <v>1.3768</v>
      </c>
    </row>
    <row r="2314" spans="1:2" x14ac:dyDescent="0.2">
      <c r="A2314" s="57">
        <v>41575</v>
      </c>
      <c r="B2314">
        <v>1.3784000000000001</v>
      </c>
    </row>
    <row r="2315" spans="1:2" x14ac:dyDescent="0.2">
      <c r="A2315" s="57">
        <v>41574</v>
      </c>
    </row>
    <row r="2316" spans="1:2" x14ac:dyDescent="0.2">
      <c r="A2316" s="57">
        <v>41573</v>
      </c>
    </row>
    <row r="2317" spans="1:2" x14ac:dyDescent="0.2">
      <c r="A2317" s="57">
        <v>41572</v>
      </c>
      <c r="B2317">
        <v>1.3776999999999999</v>
      </c>
    </row>
    <row r="2318" spans="1:2" x14ac:dyDescent="0.2">
      <c r="A2318" s="57">
        <v>41571</v>
      </c>
      <c r="B2318">
        <v>1.3805000000000001</v>
      </c>
    </row>
    <row r="2319" spans="1:2" x14ac:dyDescent="0.2">
      <c r="A2319" s="57">
        <v>41570</v>
      </c>
      <c r="B2319">
        <v>1.3752</v>
      </c>
    </row>
    <row r="2320" spans="1:2" x14ac:dyDescent="0.2">
      <c r="A2320" s="57">
        <v>41569</v>
      </c>
      <c r="B2320">
        <v>1.3673999999999999</v>
      </c>
    </row>
    <row r="2321" spans="1:2" x14ac:dyDescent="0.2">
      <c r="A2321" s="57">
        <v>41568</v>
      </c>
      <c r="B2321">
        <v>1.3667</v>
      </c>
    </row>
    <row r="2322" spans="1:2" x14ac:dyDescent="0.2">
      <c r="A2322" s="57">
        <v>41567</v>
      </c>
    </row>
    <row r="2323" spans="1:2" x14ac:dyDescent="0.2">
      <c r="A2323" s="57">
        <v>41566</v>
      </c>
    </row>
    <row r="2324" spans="1:2" x14ac:dyDescent="0.2">
      <c r="A2324" s="57">
        <v>41565</v>
      </c>
      <c r="B2324">
        <v>1.3684000000000001</v>
      </c>
    </row>
    <row r="2325" spans="1:2" x14ac:dyDescent="0.2">
      <c r="A2325" s="57">
        <v>41564</v>
      </c>
      <c r="B2325">
        <v>1.3662000000000001</v>
      </c>
    </row>
    <row r="2326" spans="1:2" x14ac:dyDescent="0.2">
      <c r="A2326" s="57">
        <v>41563</v>
      </c>
      <c r="B2326">
        <v>1.3561000000000001</v>
      </c>
    </row>
    <row r="2327" spans="1:2" x14ac:dyDescent="0.2">
      <c r="A2327" s="57">
        <v>41562</v>
      </c>
      <c r="B2327">
        <v>1.3492999999999999</v>
      </c>
    </row>
    <row r="2328" spans="1:2" x14ac:dyDescent="0.2">
      <c r="A2328" s="57">
        <v>41561</v>
      </c>
      <c r="B2328">
        <v>1.3564000000000001</v>
      </c>
    </row>
    <row r="2329" spans="1:2" x14ac:dyDescent="0.2">
      <c r="A2329" s="57">
        <v>41560</v>
      </c>
    </row>
    <row r="2330" spans="1:2" x14ac:dyDescent="0.2">
      <c r="A2330" s="57">
        <v>41559</v>
      </c>
    </row>
    <row r="2331" spans="1:2" x14ac:dyDescent="0.2">
      <c r="A2331" s="57">
        <v>41558</v>
      </c>
      <c r="B2331">
        <v>1.3566</v>
      </c>
    </row>
    <row r="2332" spans="1:2" x14ac:dyDescent="0.2">
      <c r="A2332" s="57">
        <v>41557</v>
      </c>
      <c r="B2332">
        <v>1.3532</v>
      </c>
    </row>
    <row r="2333" spans="1:2" x14ac:dyDescent="0.2">
      <c r="A2333" s="57">
        <v>41556</v>
      </c>
      <c r="B2333">
        <v>1.3514999999999999</v>
      </c>
    </row>
    <row r="2334" spans="1:2" x14ac:dyDescent="0.2">
      <c r="A2334" s="57">
        <v>41555</v>
      </c>
      <c r="B2334">
        <v>1.3575999999999999</v>
      </c>
    </row>
    <row r="2335" spans="1:2" x14ac:dyDescent="0.2">
      <c r="A2335" s="57">
        <v>41554</v>
      </c>
      <c r="B2335">
        <v>1.3572</v>
      </c>
    </row>
    <row r="2336" spans="1:2" x14ac:dyDescent="0.2">
      <c r="A2336" s="57">
        <v>41553</v>
      </c>
    </row>
    <row r="2337" spans="1:2" x14ac:dyDescent="0.2">
      <c r="A2337" s="57">
        <v>41552</v>
      </c>
    </row>
    <row r="2338" spans="1:2" x14ac:dyDescent="0.2">
      <c r="A2338" s="57">
        <v>41551</v>
      </c>
      <c r="B2338">
        <v>1.3593</v>
      </c>
    </row>
    <row r="2339" spans="1:2" x14ac:dyDescent="0.2">
      <c r="A2339" s="57">
        <v>41550</v>
      </c>
      <c r="B2339">
        <v>1.3593999999999999</v>
      </c>
    </row>
    <row r="2340" spans="1:2" x14ac:dyDescent="0.2">
      <c r="A2340" s="57">
        <v>41549</v>
      </c>
      <c r="B2340">
        <v>1.3514999999999999</v>
      </c>
    </row>
    <row r="2341" spans="1:2" x14ac:dyDescent="0.2">
      <c r="A2341" s="57">
        <v>41548</v>
      </c>
      <c r="B2341">
        <v>1.3553999999999999</v>
      </c>
    </row>
    <row r="2342" spans="1:2" x14ac:dyDescent="0.2">
      <c r="A2342" s="57">
        <v>41547</v>
      </c>
      <c r="B2342">
        <v>1.3505</v>
      </c>
    </row>
    <row r="2343" spans="1:2" x14ac:dyDescent="0.2">
      <c r="A2343" s="57">
        <v>41546</v>
      </c>
    </row>
    <row r="2344" spans="1:2" x14ac:dyDescent="0.2">
      <c r="A2344" s="57">
        <v>41545</v>
      </c>
    </row>
    <row r="2345" spans="1:2" x14ac:dyDescent="0.2">
      <c r="A2345" s="57">
        <v>41544</v>
      </c>
      <c r="B2345">
        <v>1.3536999999999999</v>
      </c>
    </row>
    <row r="2346" spans="1:2" x14ac:dyDescent="0.2">
      <c r="A2346" s="57">
        <v>41543</v>
      </c>
      <c r="B2346">
        <v>1.3499000000000001</v>
      </c>
    </row>
    <row r="2347" spans="1:2" x14ac:dyDescent="0.2">
      <c r="A2347" s="57">
        <v>41542</v>
      </c>
      <c r="B2347">
        <v>1.3504</v>
      </c>
    </row>
    <row r="2348" spans="1:2" x14ac:dyDescent="0.2">
      <c r="A2348" s="57">
        <v>41541</v>
      </c>
      <c r="B2348">
        <v>1.3472999999999999</v>
      </c>
    </row>
    <row r="2349" spans="1:2" x14ac:dyDescent="0.2">
      <c r="A2349" s="57">
        <v>41540</v>
      </c>
      <c r="B2349">
        <v>1.3508</v>
      </c>
    </row>
    <row r="2350" spans="1:2" x14ac:dyDescent="0.2">
      <c r="A2350" s="57">
        <v>41539</v>
      </c>
    </row>
    <row r="2351" spans="1:2" x14ac:dyDescent="0.2">
      <c r="A2351" s="57">
        <v>41538</v>
      </c>
    </row>
    <row r="2352" spans="1:2" x14ac:dyDescent="0.2">
      <c r="A2352" s="57">
        <v>41537</v>
      </c>
      <c r="B2352">
        <v>1.3513999999999999</v>
      </c>
    </row>
    <row r="2353" spans="1:2" x14ac:dyDescent="0.2">
      <c r="A2353" s="57">
        <v>41536</v>
      </c>
      <c r="B2353">
        <v>1.3545</v>
      </c>
    </row>
    <row r="2354" spans="1:2" x14ac:dyDescent="0.2">
      <c r="A2354" s="57">
        <v>41535</v>
      </c>
      <c r="B2354">
        <v>1.3351999999999999</v>
      </c>
    </row>
    <row r="2355" spans="1:2" x14ac:dyDescent="0.2">
      <c r="A2355" s="57">
        <v>41534</v>
      </c>
      <c r="B2355">
        <v>1.3355999999999999</v>
      </c>
    </row>
    <row r="2356" spans="1:2" x14ac:dyDescent="0.2">
      <c r="A2356" s="57">
        <v>41533</v>
      </c>
      <c r="B2356">
        <v>1.3357000000000001</v>
      </c>
    </row>
    <row r="2357" spans="1:2" x14ac:dyDescent="0.2">
      <c r="A2357" s="57">
        <v>41532</v>
      </c>
    </row>
    <row r="2358" spans="1:2" x14ac:dyDescent="0.2">
      <c r="A2358" s="57">
        <v>41531</v>
      </c>
    </row>
    <row r="2359" spans="1:2" x14ac:dyDescent="0.2">
      <c r="A2359" s="57">
        <v>41530</v>
      </c>
      <c r="B2359">
        <v>1.3294999999999999</v>
      </c>
    </row>
    <row r="2360" spans="1:2" x14ac:dyDescent="0.2">
      <c r="A2360" s="57">
        <v>41529</v>
      </c>
      <c r="B2360">
        <v>1.329</v>
      </c>
    </row>
    <row r="2361" spans="1:2" x14ac:dyDescent="0.2">
      <c r="A2361" s="57">
        <v>41528</v>
      </c>
      <c r="B2361">
        <v>1.3268</v>
      </c>
    </row>
    <row r="2362" spans="1:2" x14ac:dyDescent="0.2">
      <c r="A2362" s="57">
        <v>41527</v>
      </c>
      <c r="B2362">
        <v>1.3240000000000001</v>
      </c>
    </row>
    <row r="2363" spans="1:2" x14ac:dyDescent="0.2">
      <c r="A2363" s="57">
        <v>41526</v>
      </c>
      <c r="B2363">
        <v>1.3193999999999999</v>
      </c>
    </row>
    <row r="2364" spans="1:2" x14ac:dyDescent="0.2">
      <c r="A2364" s="57">
        <v>41525</v>
      </c>
    </row>
    <row r="2365" spans="1:2" x14ac:dyDescent="0.2">
      <c r="A2365" s="57">
        <v>41524</v>
      </c>
    </row>
    <row r="2366" spans="1:2" x14ac:dyDescent="0.2">
      <c r="A2366" s="57">
        <v>41523</v>
      </c>
      <c r="B2366">
        <v>1.3117000000000001</v>
      </c>
    </row>
    <row r="2367" spans="1:2" x14ac:dyDescent="0.2">
      <c r="A2367" s="57">
        <v>41522</v>
      </c>
      <c r="B2367">
        <v>1.3202</v>
      </c>
    </row>
    <row r="2368" spans="1:2" x14ac:dyDescent="0.2">
      <c r="A2368" s="57">
        <v>41521</v>
      </c>
      <c r="B2368">
        <v>1.3170999999999999</v>
      </c>
    </row>
    <row r="2369" spans="1:2" x14ac:dyDescent="0.2">
      <c r="A2369" s="57">
        <v>41520</v>
      </c>
      <c r="B2369">
        <v>1.3171999999999999</v>
      </c>
    </row>
    <row r="2370" spans="1:2" x14ac:dyDescent="0.2">
      <c r="A2370" s="57">
        <v>41519</v>
      </c>
      <c r="B2370">
        <v>1.3207</v>
      </c>
    </row>
    <row r="2371" spans="1:2" x14ac:dyDescent="0.2">
      <c r="A2371" s="57">
        <v>41518</v>
      </c>
    </row>
    <row r="2372" spans="1:2" x14ac:dyDescent="0.2">
      <c r="A2372" s="57">
        <v>41517</v>
      </c>
    </row>
    <row r="2373" spans="1:2" x14ac:dyDescent="0.2">
      <c r="A2373" s="57">
        <v>41516</v>
      </c>
      <c r="B2373">
        <v>1.3234999999999999</v>
      </c>
    </row>
    <row r="2374" spans="1:2" x14ac:dyDescent="0.2">
      <c r="A2374" s="57">
        <v>41515</v>
      </c>
      <c r="B2374">
        <v>1.3266</v>
      </c>
    </row>
    <row r="2375" spans="1:2" x14ac:dyDescent="0.2">
      <c r="A2375" s="57">
        <v>41514</v>
      </c>
      <c r="B2375">
        <v>1.3347</v>
      </c>
    </row>
    <row r="2376" spans="1:2" x14ac:dyDescent="0.2">
      <c r="A2376" s="57">
        <v>41513</v>
      </c>
      <c r="B2376">
        <v>1.3338000000000001</v>
      </c>
    </row>
    <row r="2377" spans="1:2" x14ac:dyDescent="0.2">
      <c r="A2377" s="57">
        <v>41512</v>
      </c>
      <c r="B2377">
        <v>1.3361000000000001</v>
      </c>
    </row>
    <row r="2378" spans="1:2" x14ac:dyDescent="0.2">
      <c r="A2378" s="57">
        <v>41511</v>
      </c>
    </row>
    <row r="2379" spans="1:2" x14ac:dyDescent="0.2">
      <c r="A2379" s="57">
        <v>41510</v>
      </c>
    </row>
    <row r="2380" spans="1:2" x14ac:dyDescent="0.2">
      <c r="A2380" s="57">
        <v>41509</v>
      </c>
      <c r="B2380">
        <v>1.3354999999999999</v>
      </c>
    </row>
    <row r="2381" spans="1:2" x14ac:dyDescent="0.2">
      <c r="A2381" s="57">
        <v>41508</v>
      </c>
      <c r="B2381">
        <v>1.3323</v>
      </c>
    </row>
    <row r="2382" spans="1:2" x14ac:dyDescent="0.2">
      <c r="A2382" s="57">
        <v>41507</v>
      </c>
      <c r="B2382">
        <v>1.3384</v>
      </c>
    </row>
    <row r="2383" spans="1:2" x14ac:dyDescent="0.2">
      <c r="A2383" s="57">
        <v>41506</v>
      </c>
      <c r="B2383">
        <v>1.3391999999999999</v>
      </c>
    </row>
    <row r="2384" spans="1:2" x14ac:dyDescent="0.2">
      <c r="A2384" s="57">
        <v>41505</v>
      </c>
      <c r="B2384">
        <v>1.3344</v>
      </c>
    </row>
    <row r="2385" spans="1:2" x14ac:dyDescent="0.2">
      <c r="A2385" s="57">
        <v>41504</v>
      </c>
    </row>
    <row r="2386" spans="1:2" x14ac:dyDescent="0.2">
      <c r="A2386" s="57">
        <v>41503</v>
      </c>
    </row>
    <row r="2387" spans="1:2" x14ac:dyDescent="0.2">
      <c r="A2387" s="57">
        <v>41502</v>
      </c>
      <c r="B2387">
        <v>1.3340000000000001</v>
      </c>
    </row>
    <row r="2388" spans="1:2" x14ac:dyDescent="0.2">
      <c r="A2388" s="57">
        <v>41501</v>
      </c>
      <c r="B2388">
        <v>1.3297000000000001</v>
      </c>
    </row>
    <row r="2389" spans="1:2" x14ac:dyDescent="0.2">
      <c r="A2389" s="57">
        <v>41500</v>
      </c>
      <c r="B2389">
        <v>1.3243</v>
      </c>
    </row>
    <row r="2390" spans="1:2" x14ac:dyDescent="0.2">
      <c r="A2390" s="57">
        <v>41499</v>
      </c>
      <c r="B2390">
        <v>1.329</v>
      </c>
    </row>
    <row r="2391" spans="1:2" x14ac:dyDescent="0.2">
      <c r="A2391" s="57">
        <v>41498</v>
      </c>
      <c r="B2391">
        <v>1.3280000000000001</v>
      </c>
    </row>
    <row r="2392" spans="1:2" x14ac:dyDescent="0.2">
      <c r="A2392" s="57">
        <v>41497</v>
      </c>
    </row>
    <row r="2393" spans="1:2" x14ac:dyDescent="0.2">
      <c r="A2393" s="57">
        <v>41496</v>
      </c>
    </row>
    <row r="2394" spans="1:2" x14ac:dyDescent="0.2">
      <c r="A2394" s="57">
        <v>41495</v>
      </c>
      <c r="B2394">
        <v>1.3372999999999999</v>
      </c>
    </row>
    <row r="2395" spans="1:2" x14ac:dyDescent="0.2">
      <c r="A2395" s="57">
        <v>41494</v>
      </c>
      <c r="B2395">
        <v>1.3360000000000001</v>
      </c>
    </row>
    <row r="2396" spans="1:2" x14ac:dyDescent="0.2">
      <c r="A2396" s="57">
        <v>41493</v>
      </c>
      <c r="B2396">
        <v>1.3305</v>
      </c>
    </row>
    <row r="2397" spans="1:2" x14ac:dyDescent="0.2">
      <c r="A2397" s="57">
        <v>41492</v>
      </c>
      <c r="B2397">
        <v>1.3280000000000001</v>
      </c>
    </row>
    <row r="2398" spans="1:2" x14ac:dyDescent="0.2">
      <c r="A2398" s="57">
        <v>41491</v>
      </c>
      <c r="B2398">
        <v>1.3257000000000001</v>
      </c>
    </row>
    <row r="2399" spans="1:2" x14ac:dyDescent="0.2">
      <c r="A2399" s="57">
        <v>41490</v>
      </c>
    </row>
    <row r="2400" spans="1:2" x14ac:dyDescent="0.2">
      <c r="A2400" s="57">
        <v>41489</v>
      </c>
    </row>
    <row r="2401" spans="1:2" x14ac:dyDescent="0.2">
      <c r="A2401" s="57">
        <v>41488</v>
      </c>
      <c r="B2401">
        <v>1.3203</v>
      </c>
    </row>
    <row r="2402" spans="1:2" x14ac:dyDescent="0.2">
      <c r="A2402" s="57">
        <v>41487</v>
      </c>
      <c r="B2402">
        <v>1.3236000000000001</v>
      </c>
    </row>
    <row r="2403" spans="1:2" x14ac:dyDescent="0.2">
      <c r="A2403" s="57">
        <v>41486</v>
      </c>
      <c r="B2403">
        <v>1.3274999999999999</v>
      </c>
    </row>
    <row r="2404" spans="1:2" x14ac:dyDescent="0.2">
      <c r="A2404" s="57">
        <v>41485</v>
      </c>
      <c r="B2404">
        <v>1.3284</v>
      </c>
    </row>
    <row r="2405" spans="1:2" x14ac:dyDescent="0.2">
      <c r="A2405" s="57">
        <v>41484</v>
      </c>
      <c r="B2405">
        <v>1.327</v>
      </c>
    </row>
    <row r="2406" spans="1:2" x14ac:dyDescent="0.2">
      <c r="A2406" s="57">
        <v>41483</v>
      </c>
    </row>
    <row r="2407" spans="1:2" x14ac:dyDescent="0.2">
      <c r="A2407" s="57">
        <v>41482</v>
      </c>
    </row>
    <row r="2408" spans="1:2" x14ac:dyDescent="0.2">
      <c r="A2408" s="57">
        <v>41481</v>
      </c>
      <c r="B2408">
        <v>1.3260000000000001</v>
      </c>
    </row>
    <row r="2409" spans="1:2" x14ac:dyDescent="0.2">
      <c r="A2409" s="57">
        <v>41480</v>
      </c>
      <c r="B2409">
        <v>1.3202</v>
      </c>
    </row>
    <row r="2410" spans="1:2" x14ac:dyDescent="0.2">
      <c r="A2410" s="57">
        <v>41479</v>
      </c>
      <c r="B2410">
        <v>1.3246</v>
      </c>
    </row>
    <row r="2411" spans="1:2" x14ac:dyDescent="0.2">
      <c r="A2411" s="57">
        <v>41478</v>
      </c>
      <c r="B2411">
        <v>1.3180000000000001</v>
      </c>
    </row>
    <row r="2412" spans="1:2" x14ac:dyDescent="0.2">
      <c r="A2412" s="57">
        <v>41477</v>
      </c>
      <c r="B2412">
        <v>1.3166</v>
      </c>
    </row>
    <row r="2413" spans="1:2" x14ac:dyDescent="0.2">
      <c r="A2413" s="57">
        <v>41476</v>
      </c>
    </row>
    <row r="2414" spans="1:2" x14ac:dyDescent="0.2">
      <c r="A2414" s="57">
        <v>41475</v>
      </c>
    </row>
    <row r="2415" spans="1:2" x14ac:dyDescent="0.2">
      <c r="A2415" s="57">
        <v>41474</v>
      </c>
      <c r="B2415">
        <v>1.3123</v>
      </c>
    </row>
    <row r="2416" spans="1:2" x14ac:dyDescent="0.2">
      <c r="A2416" s="57">
        <v>41473</v>
      </c>
      <c r="B2416">
        <v>1.3092999999999999</v>
      </c>
    </row>
    <row r="2417" spans="1:2" x14ac:dyDescent="0.2">
      <c r="A2417" s="57">
        <v>41472</v>
      </c>
      <c r="B2417">
        <v>1.3136000000000001</v>
      </c>
    </row>
    <row r="2418" spans="1:2" x14ac:dyDescent="0.2">
      <c r="A2418" s="57">
        <v>41471</v>
      </c>
      <c r="B2418">
        <v>1.3118000000000001</v>
      </c>
    </row>
    <row r="2419" spans="1:2" x14ac:dyDescent="0.2">
      <c r="A2419" s="57">
        <v>41470</v>
      </c>
      <c r="B2419">
        <v>1.3011999999999999</v>
      </c>
    </row>
    <row r="2420" spans="1:2" x14ac:dyDescent="0.2">
      <c r="A2420" s="57">
        <v>41469</v>
      </c>
    </row>
    <row r="2421" spans="1:2" x14ac:dyDescent="0.2">
      <c r="A2421" s="57">
        <v>41468</v>
      </c>
    </row>
    <row r="2422" spans="1:2" x14ac:dyDescent="0.2">
      <c r="A2422" s="57">
        <v>41467</v>
      </c>
      <c r="B2422">
        <v>1.3033999999999999</v>
      </c>
    </row>
    <row r="2423" spans="1:2" x14ac:dyDescent="0.2">
      <c r="A2423" s="57">
        <v>41466</v>
      </c>
      <c r="B2423">
        <v>1.3044</v>
      </c>
    </row>
    <row r="2424" spans="1:2" x14ac:dyDescent="0.2">
      <c r="A2424" s="57">
        <v>41465</v>
      </c>
      <c r="B2424">
        <v>1.2813000000000001</v>
      </c>
    </row>
    <row r="2425" spans="1:2" x14ac:dyDescent="0.2">
      <c r="A2425" s="57">
        <v>41464</v>
      </c>
      <c r="B2425">
        <v>1.2857000000000001</v>
      </c>
    </row>
    <row r="2426" spans="1:2" x14ac:dyDescent="0.2">
      <c r="A2426" s="57">
        <v>41463</v>
      </c>
      <c r="B2426">
        <v>1.2849999999999999</v>
      </c>
    </row>
    <row r="2427" spans="1:2" x14ac:dyDescent="0.2">
      <c r="A2427" s="57">
        <v>41462</v>
      </c>
    </row>
    <row r="2428" spans="1:2" x14ac:dyDescent="0.2">
      <c r="A2428" s="57">
        <v>41461</v>
      </c>
    </row>
    <row r="2429" spans="1:2" x14ac:dyDescent="0.2">
      <c r="A2429" s="57">
        <v>41460</v>
      </c>
      <c r="B2429">
        <v>1.2883</v>
      </c>
    </row>
    <row r="2430" spans="1:2" x14ac:dyDescent="0.2">
      <c r="A2430" s="57">
        <v>41459</v>
      </c>
      <c r="B2430">
        <v>1.2984</v>
      </c>
    </row>
    <row r="2431" spans="1:2" x14ac:dyDescent="0.2">
      <c r="A2431" s="57">
        <v>41458</v>
      </c>
      <c r="B2431">
        <v>1.2959000000000001</v>
      </c>
    </row>
    <row r="2432" spans="1:2" x14ac:dyDescent="0.2">
      <c r="A2432" s="57">
        <v>41457</v>
      </c>
      <c r="B2432">
        <v>1.3017000000000001</v>
      </c>
    </row>
    <row r="2433" spans="1:2" x14ac:dyDescent="0.2">
      <c r="A2433" s="57">
        <v>41456</v>
      </c>
      <c r="B2433">
        <v>1.3037000000000001</v>
      </c>
    </row>
    <row r="2434" spans="1:2" x14ac:dyDescent="0.2">
      <c r="A2434" s="57">
        <v>41455</v>
      </c>
    </row>
    <row r="2435" spans="1:2" x14ac:dyDescent="0.2">
      <c r="A2435" s="57">
        <v>41454</v>
      </c>
    </row>
    <row r="2436" spans="1:2" x14ac:dyDescent="0.2">
      <c r="A2436" s="57">
        <v>41453</v>
      </c>
      <c r="B2436">
        <v>1.3080000000000001</v>
      </c>
    </row>
    <row r="2437" spans="1:2" x14ac:dyDescent="0.2">
      <c r="A2437" s="57">
        <v>41452</v>
      </c>
      <c r="B2437">
        <v>1.3031999999999999</v>
      </c>
    </row>
    <row r="2438" spans="1:2" x14ac:dyDescent="0.2">
      <c r="A2438" s="57">
        <v>41451</v>
      </c>
      <c r="B2438">
        <v>1.3024</v>
      </c>
    </row>
    <row r="2439" spans="1:2" x14ac:dyDescent="0.2">
      <c r="A2439" s="57">
        <v>41450</v>
      </c>
      <c r="B2439">
        <v>1.3133999999999999</v>
      </c>
    </row>
    <row r="2440" spans="1:2" x14ac:dyDescent="0.2">
      <c r="A2440" s="57">
        <v>41449</v>
      </c>
      <c r="B2440">
        <v>1.3086</v>
      </c>
    </row>
    <row r="2441" spans="1:2" x14ac:dyDescent="0.2">
      <c r="A2441" s="57">
        <v>41448</v>
      </c>
    </row>
    <row r="2442" spans="1:2" x14ac:dyDescent="0.2">
      <c r="A2442" s="57">
        <v>41447</v>
      </c>
    </row>
    <row r="2443" spans="1:2" x14ac:dyDescent="0.2">
      <c r="A2443" s="57">
        <v>41446</v>
      </c>
      <c r="B2443">
        <v>1.3180000000000001</v>
      </c>
    </row>
    <row r="2444" spans="1:2" x14ac:dyDescent="0.2">
      <c r="A2444" s="57">
        <v>41445</v>
      </c>
      <c r="B2444">
        <v>1.32</v>
      </c>
    </row>
    <row r="2445" spans="1:2" x14ac:dyDescent="0.2">
      <c r="A2445" s="57">
        <v>41444</v>
      </c>
      <c r="B2445">
        <v>1.3406</v>
      </c>
    </row>
    <row r="2446" spans="1:2" x14ac:dyDescent="0.2">
      <c r="A2446" s="57">
        <v>41443</v>
      </c>
      <c r="B2446">
        <v>1.3373999999999999</v>
      </c>
    </row>
    <row r="2447" spans="1:2" x14ac:dyDescent="0.2">
      <c r="A2447" s="57">
        <v>41442</v>
      </c>
      <c r="B2447">
        <v>1.3337000000000001</v>
      </c>
    </row>
    <row r="2448" spans="1:2" x14ac:dyDescent="0.2">
      <c r="A2448" s="57">
        <v>41441</v>
      </c>
    </row>
    <row r="2449" spans="1:2" x14ac:dyDescent="0.2">
      <c r="A2449" s="57">
        <v>41440</v>
      </c>
    </row>
    <row r="2450" spans="1:2" x14ac:dyDescent="0.2">
      <c r="A2450" s="57">
        <v>41439</v>
      </c>
      <c r="B2450">
        <v>1.3303</v>
      </c>
    </row>
    <row r="2451" spans="1:2" x14ac:dyDescent="0.2">
      <c r="A2451" s="57">
        <v>41438</v>
      </c>
      <c r="B2451">
        <v>1.3314999999999999</v>
      </c>
    </row>
    <row r="2452" spans="1:2" x14ac:dyDescent="0.2">
      <c r="A2452" s="57">
        <v>41437</v>
      </c>
      <c r="B2452">
        <v>1.3277000000000001</v>
      </c>
    </row>
    <row r="2453" spans="1:2" x14ac:dyDescent="0.2">
      <c r="A2453" s="57">
        <v>41436</v>
      </c>
      <c r="B2453">
        <v>1.3272999999999999</v>
      </c>
    </row>
    <row r="2454" spans="1:2" x14ac:dyDescent="0.2">
      <c r="A2454" s="57">
        <v>41435</v>
      </c>
      <c r="B2454">
        <v>1.3209</v>
      </c>
    </row>
    <row r="2455" spans="1:2" x14ac:dyDescent="0.2">
      <c r="A2455" s="57">
        <v>41434</v>
      </c>
    </row>
    <row r="2456" spans="1:2" x14ac:dyDescent="0.2">
      <c r="A2456" s="57">
        <v>41433</v>
      </c>
    </row>
    <row r="2457" spans="1:2" x14ac:dyDescent="0.2">
      <c r="A2457" s="57">
        <v>41432</v>
      </c>
      <c r="B2457">
        <v>1.3260000000000001</v>
      </c>
    </row>
    <row r="2458" spans="1:2" x14ac:dyDescent="0.2">
      <c r="A2458" s="57">
        <v>41431</v>
      </c>
      <c r="B2458">
        <v>1.3118000000000001</v>
      </c>
    </row>
    <row r="2459" spans="1:2" x14ac:dyDescent="0.2">
      <c r="A2459" s="57">
        <v>41430</v>
      </c>
      <c r="B2459">
        <v>1.3067</v>
      </c>
    </row>
    <row r="2460" spans="1:2" x14ac:dyDescent="0.2">
      <c r="A2460" s="57">
        <v>41429</v>
      </c>
      <c r="B2460">
        <v>1.3091999999999999</v>
      </c>
    </row>
    <row r="2461" spans="1:2" x14ac:dyDescent="0.2">
      <c r="A2461" s="57">
        <v>41428</v>
      </c>
      <c r="B2461">
        <v>1.3008</v>
      </c>
    </row>
    <row r="2462" spans="1:2" x14ac:dyDescent="0.2">
      <c r="A2462" s="57">
        <v>41427</v>
      </c>
    </row>
    <row r="2463" spans="1:2" x14ac:dyDescent="0.2">
      <c r="A2463" s="57">
        <v>41426</v>
      </c>
    </row>
    <row r="2464" spans="1:2" x14ac:dyDescent="0.2">
      <c r="A2464" s="57">
        <v>41425</v>
      </c>
      <c r="B2464">
        <v>1.3006</v>
      </c>
    </row>
    <row r="2465" spans="1:2" x14ac:dyDescent="0.2">
      <c r="A2465" s="57">
        <v>41424</v>
      </c>
      <c r="B2465">
        <v>1.2944</v>
      </c>
    </row>
    <row r="2466" spans="1:2" x14ac:dyDescent="0.2">
      <c r="A2466" s="57">
        <v>41423</v>
      </c>
      <c r="B2466">
        <v>1.2951999999999999</v>
      </c>
    </row>
    <row r="2467" spans="1:2" x14ac:dyDescent="0.2">
      <c r="A2467" s="57">
        <v>41422</v>
      </c>
      <c r="B2467">
        <v>1.2938000000000001</v>
      </c>
    </row>
    <row r="2468" spans="1:2" x14ac:dyDescent="0.2">
      <c r="A2468" s="57">
        <v>41421</v>
      </c>
      <c r="B2468">
        <v>1.2939000000000001</v>
      </c>
    </row>
    <row r="2469" spans="1:2" x14ac:dyDescent="0.2">
      <c r="A2469" s="57">
        <v>41420</v>
      </c>
    </row>
    <row r="2470" spans="1:2" x14ac:dyDescent="0.2">
      <c r="A2470" s="57">
        <v>41419</v>
      </c>
    </row>
    <row r="2471" spans="1:2" x14ac:dyDescent="0.2">
      <c r="A2471" s="57">
        <v>41418</v>
      </c>
      <c r="B2471">
        <v>1.2939000000000001</v>
      </c>
    </row>
    <row r="2472" spans="1:2" x14ac:dyDescent="0.2">
      <c r="A2472" s="57">
        <v>41417</v>
      </c>
      <c r="B2472">
        <v>1.2887999999999999</v>
      </c>
    </row>
    <row r="2473" spans="1:2" x14ac:dyDescent="0.2">
      <c r="A2473" s="57">
        <v>41416</v>
      </c>
      <c r="B2473">
        <v>1.2923</v>
      </c>
    </row>
    <row r="2474" spans="1:2" x14ac:dyDescent="0.2">
      <c r="A2474" s="57">
        <v>41415</v>
      </c>
      <c r="B2474">
        <v>1.2866</v>
      </c>
    </row>
    <row r="2475" spans="1:2" x14ac:dyDescent="0.2">
      <c r="A2475" s="57">
        <v>41414</v>
      </c>
      <c r="B2475">
        <v>1.2853000000000001</v>
      </c>
    </row>
    <row r="2476" spans="1:2" x14ac:dyDescent="0.2">
      <c r="A2476" s="57">
        <v>41413</v>
      </c>
    </row>
    <row r="2477" spans="1:2" x14ac:dyDescent="0.2">
      <c r="A2477" s="57">
        <v>41412</v>
      </c>
    </row>
    <row r="2478" spans="1:2" x14ac:dyDescent="0.2">
      <c r="A2478" s="57">
        <v>41411</v>
      </c>
      <c r="B2478">
        <v>1.2868999999999999</v>
      </c>
    </row>
    <row r="2479" spans="1:2" x14ac:dyDescent="0.2">
      <c r="A2479" s="57">
        <v>41410</v>
      </c>
      <c r="B2479">
        <v>1.2889999999999999</v>
      </c>
    </row>
    <row r="2480" spans="1:2" x14ac:dyDescent="0.2">
      <c r="A2480" s="57">
        <v>41409</v>
      </c>
      <c r="B2480">
        <v>1.2864</v>
      </c>
    </row>
    <row r="2481" spans="1:2" x14ac:dyDescent="0.2">
      <c r="A2481" s="57">
        <v>41408</v>
      </c>
      <c r="B2481">
        <v>1.2977000000000001</v>
      </c>
    </row>
    <row r="2482" spans="1:2" x14ac:dyDescent="0.2">
      <c r="A2482" s="57">
        <v>41407</v>
      </c>
      <c r="B2482">
        <v>1.2972999999999999</v>
      </c>
    </row>
    <row r="2483" spans="1:2" x14ac:dyDescent="0.2">
      <c r="A2483" s="57">
        <v>41406</v>
      </c>
    </row>
    <row r="2484" spans="1:2" x14ac:dyDescent="0.2">
      <c r="A2484" s="57">
        <v>41405</v>
      </c>
    </row>
    <row r="2485" spans="1:2" x14ac:dyDescent="0.2">
      <c r="A2485" s="57">
        <v>41404</v>
      </c>
      <c r="B2485">
        <v>1.2988</v>
      </c>
    </row>
    <row r="2486" spans="1:2" x14ac:dyDescent="0.2">
      <c r="A2486" s="57">
        <v>41403</v>
      </c>
      <c r="B2486">
        <v>1.3142</v>
      </c>
    </row>
    <row r="2487" spans="1:2" x14ac:dyDescent="0.2">
      <c r="A2487" s="57">
        <v>41402</v>
      </c>
      <c r="B2487">
        <v>1.3134999999999999</v>
      </c>
    </row>
    <row r="2488" spans="1:2" x14ac:dyDescent="0.2">
      <c r="A2488" s="57">
        <v>41401</v>
      </c>
      <c r="B2488">
        <v>1.3107</v>
      </c>
    </row>
    <row r="2489" spans="1:2" x14ac:dyDescent="0.2">
      <c r="A2489" s="57">
        <v>41400</v>
      </c>
      <c r="B2489">
        <v>1.3107</v>
      </c>
    </row>
    <row r="2490" spans="1:2" x14ac:dyDescent="0.2">
      <c r="A2490" s="57">
        <v>41399</v>
      </c>
    </row>
    <row r="2491" spans="1:2" x14ac:dyDescent="0.2">
      <c r="A2491" s="57">
        <v>41398</v>
      </c>
    </row>
    <row r="2492" spans="1:2" x14ac:dyDescent="0.2">
      <c r="A2492" s="57">
        <v>41397</v>
      </c>
      <c r="B2492">
        <v>1.3113999999999999</v>
      </c>
    </row>
    <row r="2493" spans="1:2" x14ac:dyDescent="0.2">
      <c r="A2493" s="57">
        <v>41396</v>
      </c>
      <c r="B2493">
        <v>1.3190999999999999</v>
      </c>
    </row>
    <row r="2494" spans="1:2" x14ac:dyDescent="0.2">
      <c r="A2494" s="57">
        <v>41395</v>
      </c>
    </row>
    <row r="2495" spans="1:2" x14ac:dyDescent="0.2">
      <c r="A2495" s="57">
        <v>41394</v>
      </c>
      <c r="B2495">
        <v>1.3071999999999999</v>
      </c>
    </row>
    <row r="2496" spans="1:2" x14ac:dyDescent="0.2">
      <c r="A2496" s="57">
        <v>41393</v>
      </c>
      <c r="B2496">
        <v>1.3112999999999999</v>
      </c>
    </row>
    <row r="2497" spans="1:2" x14ac:dyDescent="0.2">
      <c r="A2497" s="57">
        <v>41392</v>
      </c>
    </row>
    <row r="2498" spans="1:2" x14ac:dyDescent="0.2">
      <c r="A2498" s="57">
        <v>41391</v>
      </c>
    </row>
    <row r="2499" spans="1:2" x14ac:dyDescent="0.2">
      <c r="A2499" s="57">
        <v>41390</v>
      </c>
      <c r="B2499">
        <v>1.2999000000000001</v>
      </c>
    </row>
    <row r="2500" spans="1:2" x14ac:dyDescent="0.2">
      <c r="A2500" s="57">
        <v>41389</v>
      </c>
      <c r="B2500">
        <v>1.3080000000000001</v>
      </c>
    </row>
    <row r="2501" spans="1:2" x14ac:dyDescent="0.2">
      <c r="A2501" s="57">
        <v>41388</v>
      </c>
      <c r="B2501">
        <v>1.3006</v>
      </c>
    </row>
    <row r="2502" spans="1:2" x14ac:dyDescent="0.2">
      <c r="A2502" s="57">
        <v>41387</v>
      </c>
      <c r="B2502">
        <v>1.2989999999999999</v>
      </c>
    </row>
    <row r="2503" spans="1:2" x14ac:dyDescent="0.2">
      <c r="A2503" s="57">
        <v>41386</v>
      </c>
      <c r="B2503">
        <v>1.3037000000000001</v>
      </c>
    </row>
    <row r="2504" spans="1:2" x14ac:dyDescent="0.2">
      <c r="A2504" s="57">
        <v>41385</v>
      </c>
    </row>
    <row r="2505" spans="1:2" x14ac:dyDescent="0.2">
      <c r="A2505" s="57">
        <v>41384</v>
      </c>
    </row>
    <row r="2506" spans="1:2" x14ac:dyDescent="0.2">
      <c r="A2506" s="57">
        <v>41383</v>
      </c>
      <c r="B2506">
        <v>1.3115000000000001</v>
      </c>
    </row>
    <row r="2507" spans="1:2" x14ac:dyDescent="0.2">
      <c r="A2507" s="57">
        <v>41382</v>
      </c>
      <c r="B2507">
        <v>1.3045</v>
      </c>
    </row>
    <row r="2508" spans="1:2" x14ac:dyDescent="0.2">
      <c r="A2508" s="57">
        <v>41381</v>
      </c>
      <c r="B2508">
        <v>1.3129</v>
      </c>
    </row>
    <row r="2509" spans="1:2" x14ac:dyDescent="0.2">
      <c r="A2509" s="57">
        <v>41380</v>
      </c>
      <c r="B2509">
        <v>1.3129</v>
      </c>
    </row>
    <row r="2510" spans="1:2" x14ac:dyDescent="0.2">
      <c r="A2510" s="57">
        <v>41379</v>
      </c>
      <c r="B2510">
        <v>1.3081</v>
      </c>
    </row>
    <row r="2511" spans="1:2" x14ac:dyDescent="0.2">
      <c r="A2511" s="57">
        <v>41378</v>
      </c>
    </row>
    <row r="2512" spans="1:2" x14ac:dyDescent="0.2">
      <c r="A2512" s="57">
        <v>41377</v>
      </c>
    </row>
    <row r="2513" spans="1:2" x14ac:dyDescent="0.2">
      <c r="A2513" s="57">
        <v>41376</v>
      </c>
      <c r="B2513">
        <v>1.3051999999999999</v>
      </c>
    </row>
    <row r="2514" spans="1:2" x14ac:dyDescent="0.2">
      <c r="A2514" s="57">
        <v>41375</v>
      </c>
      <c r="B2514">
        <v>1.3119000000000001</v>
      </c>
    </row>
    <row r="2515" spans="1:2" x14ac:dyDescent="0.2">
      <c r="A2515" s="57">
        <v>41374</v>
      </c>
      <c r="B2515">
        <v>1.3086</v>
      </c>
    </row>
    <row r="2516" spans="1:2" x14ac:dyDescent="0.2">
      <c r="A2516" s="57">
        <v>41373</v>
      </c>
      <c r="B2516">
        <v>1.304</v>
      </c>
    </row>
    <row r="2517" spans="1:2" x14ac:dyDescent="0.2">
      <c r="A2517" s="57">
        <v>41372</v>
      </c>
      <c r="B2517">
        <v>1.3023</v>
      </c>
    </row>
    <row r="2518" spans="1:2" x14ac:dyDescent="0.2">
      <c r="A2518" s="57">
        <v>41371</v>
      </c>
    </row>
    <row r="2519" spans="1:2" x14ac:dyDescent="0.2">
      <c r="A2519" s="57">
        <v>41370</v>
      </c>
    </row>
    <row r="2520" spans="1:2" x14ac:dyDescent="0.2">
      <c r="A2520" s="57">
        <v>41369</v>
      </c>
      <c r="B2520">
        <v>1.2944</v>
      </c>
    </row>
    <row r="2521" spans="1:2" x14ac:dyDescent="0.2">
      <c r="A2521" s="57">
        <v>41368</v>
      </c>
      <c r="B2521">
        <v>1.2818000000000001</v>
      </c>
    </row>
    <row r="2522" spans="1:2" x14ac:dyDescent="0.2">
      <c r="A2522" s="57">
        <v>41367</v>
      </c>
      <c r="B2522">
        <v>1.2827999999999999</v>
      </c>
    </row>
    <row r="2523" spans="1:2" x14ac:dyDescent="0.2">
      <c r="A2523" s="57">
        <v>41366</v>
      </c>
      <c r="B2523">
        <v>1.284</v>
      </c>
    </row>
    <row r="2524" spans="1:2" x14ac:dyDescent="0.2">
      <c r="A2524" s="57">
        <v>41365</v>
      </c>
    </row>
    <row r="2525" spans="1:2" x14ac:dyDescent="0.2">
      <c r="A2525" s="57">
        <v>41364</v>
      </c>
    </row>
    <row r="2526" spans="1:2" x14ac:dyDescent="0.2">
      <c r="A2526" s="57">
        <v>41363</v>
      </c>
    </row>
    <row r="2527" spans="1:2" x14ac:dyDescent="0.2">
      <c r="A2527" s="57">
        <v>41362</v>
      </c>
    </row>
    <row r="2528" spans="1:2" x14ac:dyDescent="0.2">
      <c r="A2528" s="57">
        <v>41361</v>
      </c>
      <c r="B2528">
        <v>1.2805</v>
      </c>
    </row>
    <row r="2529" spans="1:2" x14ac:dyDescent="0.2">
      <c r="A2529" s="57">
        <v>41360</v>
      </c>
      <c r="B2529">
        <v>1.2767999999999999</v>
      </c>
    </row>
    <row r="2530" spans="1:2" x14ac:dyDescent="0.2">
      <c r="A2530" s="57">
        <v>41359</v>
      </c>
      <c r="B2530">
        <v>1.2861</v>
      </c>
    </row>
    <row r="2531" spans="1:2" x14ac:dyDescent="0.2">
      <c r="A2531" s="57">
        <v>41358</v>
      </c>
      <c r="B2531">
        <v>1.2935000000000001</v>
      </c>
    </row>
    <row r="2532" spans="1:2" x14ac:dyDescent="0.2">
      <c r="A2532" s="57">
        <v>41357</v>
      </c>
    </row>
    <row r="2533" spans="1:2" x14ac:dyDescent="0.2">
      <c r="A2533" s="57">
        <v>41356</v>
      </c>
    </row>
    <row r="2534" spans="1:2" x14ac:dyDescent="0.2">
      <c r="A2534" s="57">
        <v>41355</v>
      </c>
      <c r="B2534">
        <v>1.2948</v>
      </c>
    </row>
    <row r="2535" spans="1:2" x14ac:dyDescent="0.2">
      <c r="A2535" s="57">
        <v>41354</v>
      </c>
      <c r="B2535">
        <v>1.2909999999999999</v>
      </c>
    </row>
    <row r="2536" spans="1:2" x14ac:dyDescent="0.2">
      <c r="A2536" s="57">
        <v>41353</v>
      </c>
      <c r="B2536">
        <v>1.2945</v>
      </c>
    </row>
    <row r="2537" spans="1:2" x14ac:dyDescent="0.2">
      <c r="A2537" s="57">
        <v>41352</v>
      </c>
      <c r="B2537">
        <v>1.2944</v>
      </c>
    </row>
    <row r="2538" spans="1:2" x14ac:dyDescent="0.2">
      <c r="A2538" s="57">
        <v>41351</v>
      </c>
      <c r="B2538">
        <v>1.2928999999999999</v>
      </c>
    </row>
    <row r="2539" spans="1:2" x14ac:dyDescent="0.2">
      <c r="A2539" s="57">
        <v>41350</v>
      </c>
    </row>
    <row r="2540" spans="1:2" x14ac:dyDescent="0.2">
      <c r="A2540" s="57">
        <v>41349</v>
      </c>
    </row>
    <row r="2541" spans="1:2" x14ac:dyDescent="0.2">
      <c r="A2541" s="57">
        <v>41348</v>
      </c>
      <c r="B2541">
        <v>1.3086</v>
      </c>
    </row>
    <row r="2542" spans="1:2" x14ac:dyDescent="0.2">
      <c r="A2542" s="57">
        <v>41347</v>
      </c>
      <c r="B2542">
        <v>1.2937000000000001</v>
      </c>
    </row>
    <row r="2543" spans="1:2" x14ac:dyDescent="0.2">
      <c r="A2543" s="57">
        <v>41346</v>
      </c>
      <c r="B2543">
        <v>1.2981</v>
      </c>
    </row>
    <row r="2544" spans="1:2" x14ac:dyDescent="0.2">
      <c r="A2544" s="57">
        <v>41345</v>
      </c>
      <c r="B2544">
        <v>1.3052999999999999</v>
      </c>
    </row>
    <row r="2545" spans="1:2" x14ac:dyDescent="0.2">
      <c r="A2545" s="57">
        <v>41344</v>
      </c>
      <c r="B2545">
        <v>1.2994000000000001</v>
      </c>
    </row>
    <row r="2546" spans="1:2" x14ac:dyDescent="0.2">
      <c r="A2546" s="57">
        <v>41343</v>
      </c>
    </row>
    <row r="2547" spans="1:2" x14ac:dyDescent="0.2">
      <c r="A2547" s="57">
        <v>41342</v>
      </c>
    </row>
    <row r="2548" spans="1:2" x14ac:dyDescent="0.2">
      <c r="A2548" s="57">
        <v>41341</v>
      </c>
      <c r="B2548">
        <v>1.3089999999999999</v>
      </c>
    </row>
    <row r="2549" spans="1:2" x14ac:dyDescent="0.2">
      <c r="A2549" s="57">
        <v>41340</v>
      </c>
      <c r="B2549">
        <v>1.3009999999999999</v>
      </c>
    </row>
    <row r="2550" spans="1:2" x14ac:dyDescent="0.2">
      <c r="A2550" s="57">
        <v>41339</v>
      </c>
      <c r="B2550">
        <v>1.3035000000000001</v>
      </c>
    </row>
    <row r="2551" spans="1:2" x14ac:dyDescent="0.2">
      <c r="A2551" s="57">
        <v>41338</v>
      </c>
      <c r="B2551">
        <v>1.3033999999999999</v>
      </c>
    </row>
    <row r="2552" spans="1:2" x14ac:dyDescent="0.2">
      <c r="A2552" s="57">
        <v>41337</v>
      </c>
      <c r="B2552">
        <v>1.3007</v>
      </c>
    </row>
    <row r="2553" spans="1:2" x14ac:dyDescent="0.2">
      <c r="A2553" s="57">
        <v>41336</v>
      </c>
    </row>
    <row r="2554" spans="1:2" x14ac:dyDescent="0.2">
      <c r="A2554" s="57">
        <v>41335</v>
      </c>
    </row>
    <row r="2555" spans="1:2" x14ac:dyDescent="0.2">
      <c r="A2555" s="57">
        <v>41334</v>
      </c>
      <c r="B2555">
        <v>1.3</v>
      </c>
    </row>
    <row r="2556" spans="1:2" x14ac:dyDescent="0.2">
      <c r="A2556" s="57">
        <v>41333</v>
      </c>
      <c r="B2556">
        <v>1.3129</v>
      </c>
    </row>
    <row r="2557" spans="1:2" x14ac:dyDescent="0.2">
      <c r="A2557" s="57">
        <v>41332</v>
      </c>
      <c r="B2557">
        <v>1.3097000000000001</v>
      </c>
    </row>
    <row r="2558" spans="1:2" x14ac:dyDescent="0.2">
      <c r="A2558" s="57">
        <v>41331</v>
      </c>
      <c r="B2558">
        <v>1.3077000000000001</v>
      </c>
    </row>
    <row r="2559" spans="1:2" x14ac:dyDescent="0.2">
      <c r="A2559" s="57">
        <v>41330</v>
      </c>
      <c r="B2559">
        <v>1.3304</v>
      </c>
    </row>
    <row r="2560" spans="1:2" x14ac:dyDescent="0.2">
      <c r="A2560" s="57">
        <v>41329</v>
      </c>
    </row>
    <row r="2561" spans="1:2" x14ac:dyDescent="0.2">
      <c r="A2561" s="57">
        <v>41328</v>
      </c>
    </row>
    <row r="2562" spans="1:2" x14ac:dyDescent="0.2">
      <c r="A2562" s="57">
        <v>41327</v>
      </c>
      <c r="B2562">
        <v>1.3186</v>
      </c>
    </row>
    <row r="2563" spans="1:2" x14ac:dyDescent="0.2">
      <c r="A2563" s="57">
        <v>41326</v>
      </c>
      <c r="B2563">
        <v>1.3186</v>
      </c>
    </row>
    <row r="2564" spans="1:2" x14ac:dyDescent="0.2">
      <c r="A2564" s="57">
        <v>41325</v>
      </c>
      <c r="B2564">
        <v>1.337</v>
      </c>
    </row>
    <row r="2565" spans="1:2" x14ac:dyDescent="0.2">
      <c r="A2565" s="57">
        <v>41324</v>
      </c>
      <c r="B2565">
        <v>1.3349</v>
      </c>
    </row>
    <row r="2566" spans="1:2" x14ac:dyDescent="0.2">
      <c r="A2566" s="57">
        <v>41323</v>
      </c>
      <c r="B2566">
        <v>1.3351999999999999</v>
      </c>
    </row>
    <row r="2567" spans="1:2" x14ac:dyDescent="0.2">
      <c r="A2567" s="57">
        <v>41322</v>
      </c>
    </row>
    <row r="2568" spans="1:2" x14ac:dyDescent="0.2">
      <c r="A2568" s="57">
        <v>41321</v>
      </c>
    </row>
    <row r="2569" spans="1:2" x14ac:dyDescent="0.2">
      <c r="A2569" s="57">
        <v>41320</v>
      </c>
      <c r="B2569">
        <v>1.3325</v>
      </c>
    </row>
    <row r="2570" spans="1:2" x14ac:dyDescent="0.2">
      <c r="A2570" s="57">
        <v>41319</v>
      </c>
      <c r="B2570">
        <v>1.3327</v>
      </c>
    </row>
    <row r="2571" spans="1:2" x14ac:dyDescent="0.2">
      <c r="A2571" s="57">
        <v>41318</v>
      </c>
      <c r="B2571">
        <v>1.3480000000000001</v>
      </c>
    </row>
    <row r="2572" spans="1:2" x14ac:dyDescent="0.2">
      <c r="A2572" s="57">
        <v>41317</v>
      </c>
      <c r="B2572">
        <v>1.3438000000000001</v>
      </c>
    </row>
    <row r="2573" spans="1:2" x14ac:dyDescent="0.2">
      <c r="A2573" s="57">
        <v>41316</v>
      </c>
      <c r="B2573">
        <v>1.3391</v>
      </c>
    </row>
    <row r="2574" spans="1:2" x14ac:dyDescent="0.2">
      <c r="A2574" s="57">
        <v>41315</v>
      </c>
    </row>
    <row r="2575" spans="1:2" x14ac:dyDescent="0.2">
      <c r="A2575" s="57">
        <v>41314</v>
      </c>
    </row>
    <row r="2576" spans="1:2" x14ac:dyDescent="0.2">
      <c r="A2576" s="57">
        <v>41313</v>
      </c>
      <c r="B2576">
        <v>1.3373999999999999</v>
      </c>
    </row>
    <row r="2577" spans="1:2" x14ac:dyDescent="0.2">
      <c r="A2577" s="57">
        <v>41312</v>
      </c>
      <c r="B2577">
        <v>1.3546</v>
      </c>
    </row>
    <row r="2578" spans="1:2" x14ac:dyDescent="0.2">
      <c r="A2578" s="57">
        <v>41311</v>
      </c>
      <c r="B2578">
        <v>1.3516999999999999</v>
      </c>
    </row>
    <row r="2579" spans="1:2" x14ac:dyDescent="0.2">
      <c r="A2579" s="57">
        <v>41310</v>
      </c>
      <c r="B2579">
        <v>1.3536999999999999</v>
      </c>
    </row>
    <row r="2580" spans="1:2" x14ac:dyDescent="0.2">
      <c r="A2580" s="57">
        <v>41309</v>
      </c>
      <c r="B2580">
        <v>1.3552</v>
      </c>
    </row>
    <row r="2581" spans="1:2" x14ac:dyDescent="0.2">
      <c r="A2581" s="57">
        <v>41308</v>
      </c>
    </row>
    <row r="2582" spans="1:2" x14ac:dyDescent="0.2">
      <c r="A2582" s="57">
        <v>41307</v>
      </c>
    </row>
    <row r="2583" spans="1:2" x14ac:dyDescent="0.2">
      <c r="A2583" s="57">
        <v>41306</v>
      </c>
      <c r="B2583">
        <v>1.3644000000000001</v>
      </c>
    </row>
    <row r="2584" spans="1:2" x14ac:dyDescent="0.2">
      <c r="A2584" s="57">
        <v>41305</v>
      </c>
      <c r="B2584">
        <v>1.355</v>
      </c>
    </row>
    <row r="2585" spans="1:2" x14ac:dyDescent="0.2">
      <c r="A2585" s="57">
        <v>41304</v>
      </c>
      <c r="B2585">
        <v>1.3541000000000001</v>
      </c>
    </row>
    <row r="2586" spans="1:2" x14ac:dyDescent="0.2">
      <c r="A2586" s="57">
        <v>41303</v>
      </c>
      <c r="B2586">
        <v>1.3432999999999999</v>
      </c>
    </row>
    <row r="2587" spans="1:2" x14ac:dyDescent="0.2">
      <c r="A2587" s="57">
        <v>41302</v>
      </c>
      <c r="B2587">
        <v>1.3444</v>
      </c>
    </row>
    <row r="2588" spans="1:2" x14ac:dyDescent="0.2">
      <c r="A2588" s="57">
        <v>41301</v>
      </c>
    </row>
    <row r="2589" spans="1:2" x14ac:dyDescent="0.2">
      <c r="A2589" s="57">
        <v>41300</v>
      </c>
    </row>
    <row r="2590" spans="1:2" x14ac:dyDescent="0.2">
      <c r="A2590" s="57">
        <v>41299</v>
      </c>
      <c r="B2590">
        <v>1.3469</v>
      </c>
    </row>
    <row r="2591" spans="1:2" x14ac:dyDescent="0.2">
      <c r="A2591" s="57">
        <v>41298</v>
      </c>
      <c r="B2591">
        <v>1.3349</v>
      </c>
    </row>
    <row r="2592" spans="1:2" x14ac:dyDescent="0.2">
      <c r="A2592" s="57">
        <v>41297</v>
      </c>
      <c r="B2592">
        <v>1.333</v>
      </c>
    </row>
    <row r="2593" spans="1:2" x14ac:dyDescent="0.2">
      <c r="A2593" s="57">
        <v>41296</v>
      </c>
      <c r="B2593">
        <v>1.3317000000000001</v>
      </c>
    </row>
    <row r="2594" spans="1:2" x14ac:dyDescent="0.2">
      <c r="A2594" s="57">
        <v>41295</v>
      </c>
      <c r="B2594">
        <v>1.3323</v>
      </c>
    </row>
    <row r="2595" spans="1:2" x14ac:dyDescent="0.2">
      <c r="A2595" s="57">
        <v>41294</v>
      </c>
    </row>
    <row r="2596" spans="1:2" x14ac:dyDescent="0.2">
      <c r="A2596" s="57">
        <v>41293</v>
      </c>
    </row>
    <row r="2597" spans="1:2" x14ac:dyDescent="0.2">
      <c r="A2597" s="57">
        <v>41292</v>
      </c>
      <c r="B2597">
        <v>1.3324</v>
      </c>
    </row>
    <row r="2598" spans="1:2" x14ac:dyDescent="0.2">
      <c r="A2598" s="57">
        <v>41291</v>
      </c>
      <c r="B2598">
        <v>1.3368</v>
      </c>
    </row>
    <row r="2599" spans="1:2" x14ac:dyDescent="0.2">
      <c r="A2599" s="57">
        <v>41290</v>
      </c>
      <c r="B2599">
        <v>1.3277000000000001</v>
      </c>
    </row>
    <row r="2600" spans="1:2" x14ac:dyDescent="0.2">
      <c r="A2600" s="57">
        <v>41289</v>
      </c>
      <c r="B2600">
        <v>1.3327</v>
      </c>
    </row>
    <row r="2601" spans="1:2" x14ac:dyDescent="0.2">
      <c r="A2601" s="57">
        <v>41288</v>
      </c>
      <c r="B2601">
        <v>1.3341000000000001</v>
      </c>
    </row>
    <row r="2602" spans="1:2" x14ac:dyDescent="0.2">
      <c r="A2602" s="57">
        <v>41287</v>
      </c>
    </row>
    <row r="2603" spans="1:2" x14ac:dyDescent="0.2">
      <c r="A2603" s="57">
        <v>41286</v>
      </c>
    </row>
    <row r="2604" spans="1:2" x14ac:dyDescent="0.2">
      <c r="A2604" s="57">
        <v>41285</v>
      </c>
      <c r="B2604">
        <v>1.3273999999999999</v>
      </c>
    </row>
    <row r="2605" spans="1:2" x14ac:dyDescent="0.2">
      <c r="A2605" s="57">
        <v>41284</v>
      </c>
      <c r="B2605">
        <v>1.3112999999999999</v>
      </c>
    </row>
    <row r="2606" spans="1:2" x14ac:dyDescent="0.2">
      <c r="A2606" s="57">
        <v>41283</v>
      </c>
      <c r="B2606">
        <v>1.3056000000000001</v>
      </c>
    </row>
    <row r="2607" spans="1:2" x14ac:dyDescent="0.2">
      <c r="A2607" s="57">
        <v>41282</v>
      </c>
      <c r="B2607">
        <v>1.3086</v>
      </c>
    </row>
    <row r="2608" spans="1:2" x14ac:dyDescent="0.2">
      <c r="A2608" s="57">
        <v>41281</v>
      </c>
      <c r="B2608">
        <v>1.3039000000000001</v>
      </c>
    </row>
    <row r="2609" spans="1:2" x14ac:dyDescent="0.2">
      <c r="A2609" s="57">
        <v>41280</v>
      </c>
    </row>
    <row r="2610" spans="1:2" x14ac:dyDescent="0.2">
      <c r="A2610" s="57">
        <v>41279</v>
      </c>
    </row>
    <row r="2611" spans="1:2" x14ac:dyDescent="0.2">
      <c r="A2611" s="57">
        <v>41278</v>
      </c>
      <c r="B2611">
        <v>1.3011999999999999</v>
      </c>
    </row>
    <row r="2612" spans="1:2" x14ac:dyDescent="0.2">
      <c r="A2612" s="57">
        <v>41277</v>
      </c>
      <c r="B2612">
        <v>1.3102</v>
      </c>
    </row>
    <row r="2613" spans="1:2" x14ac:dyDescent="0.2">
      <c r="A2613" s="57">
        <v>41276</v>
      </c>
      <c r="B2613">
        <v>1.3262</v>
      </c>
    </row>
    <row r="2614" spans="1:2" x14ac:dyDescent="0.2">
      <c r="A2614" s="57">
        <v>41275</v>
      </c>
    </row>
    <row r="2615" spans="1:2" x14ac:dyDescent="0.2">
      <c r="A2615" s="57">
        <v>41274</v>
      </c>
      <c r="B2615">
        <v>1.3193999999999999</v>
      </c>
    </row>
    <row r="2616" spans="1:2" x14ac:dyDescent="0.2">
      <c r="A2616" s="57">
        <v>41273</v>
      </c>
    </row>
    <row r="2617" spans="1:2" x14ac:dyDescent="0.2">
      <c r="A2617" s="57">
        <v>41272</v>
      </c>
    </row>
    <row r="2618" spans="1:2" x14ac:dyDescent="0.2">
      <c r="A2618" s="57">
        <v>41271</v>
      </c>
      <c r="B2618">
        <v>1.3183</v>
      </c>
    </row>
    <row r="2619" spans="1:2" x14ac:dyDescent="0.2">
      <c r="A2619" s="57">
        <v>41270</v>
      </c>
      <c r="B2619">
        <v>1.3266</v>
      </c>
    </row>
    <row r="2620" spans="1:2" x14ac:dyDescent="0.2">
      <c r="A2620" s="57">
        <v>41269</v>
      </c>
    </row>
    <row r="2621" spans="1:2" x14ac:dyDescent="0.2">
      <c r="A2621" s="57">
        <v>41268</v>
      </c>
    </row>
    <row r="2622" spans="1:2" x14ac:dyDescent="0.2">
      <c r="A2622" s="57">
        <v>41267</v>
      </c>
      <c r="B2622">
        <v>1.3218000000000001</v>
      </c>
    </row>
    <row r="2623" spans="1:2" x14ac:dyDescent="0.2">
      <c r="A2623" s="57">
        <v>41266</v>
      </c>
    </row>
    <row r="2624" spans="1:2" x14ac:dyDescent="0.2">
      <c r="A2624" s="57">
        <v>41265</v>
      </c>
    </row>
    <row r="2625" spans="1:2" x14ac:dyDescent="0.2">
      <c r="A2625" s="57">
        <v>41264</v>
      </c>
      <c r="B2625">
        <v>1.3209</v>
      </c>
    </row>
    <row r="2626" spans="1:2" x14ac:dyDescent="0.2">
      <c r="A2626" s="57">
        <v>41263</v>
      </c>
      <c r="B2626">
        <v>1.3246</v>
      </c>
    </row>
    <row r="2627" spans="1:2" x14ac:dyDescent="0.2">
      <c r="A2627" s="57">
        <v>41262</v>
      </c>
      <c r="B2627">
        <v>1.3302</v>
      </c>
    </row>
    <row r="2628" spans="1:2" x14ac:dyDescent="0.2">
      <c r="A2628" s="57">
        <v>41261</v>
      </c>
      <c r="B2628">
        <v>1.3178000000000001</v>
      </c>
    </row>
    <row r="2629" spans="1:2" x14ac:dyDescent="0.2">
      <c r="A2629" s="57">
        <v>41260</v>
      </c>
      <c r="B2629">
        <v>1.3160000000000001</v>
      </c>
    </row>
    <row r="2630" spans="1:2" x14ac:dyDescent="0.2">
      <c r="A2630" s="57">
        <v>41259</v>
      </c>
    </row>
    <row r="2631" spans="1:2" x14ac:dyDescent="0.2">
      <c r="A2631" s="57">
        <v>41258</v>
      </c>
    </row>
    <row r="2632" spans="1:2" x14ac:dyDescent="0.2">
      <c r="A2632" s="57">
        <v>41257</v>
      </c>
      <c r="B2632">
        <v>1.3081</v>
      </c>
    </row>
    <row r="2633" spans="1:2" x14ac:dyDescent="0.2">
      <c r="A2633" s="57">
        <v>41256</v>
      </c>
      <c r="B2633">
        <v>1.3077000000000001</v>
      </c>
    </row>
    <row r="2634" spans="1:2" x14ac:dyDescent="0.2">
      <c r="A2634" s="57">
        <v>41255</v>
      </c>
      <c r="B2634">
        <v>1.304</v>
      </c>
    </row>
    <row r="2635" spans="1:2" x14ac:dyDescent="0.2">
      <c r="A2635" s="57">
        <v>41254</v>
      </c>
      <c r="B2635">
        <v>1.2992999999999999</v>
      </c>
    </row>
    <row r="2636" spans="1:2" x14ac:dyDescent="0.2">
      <c r="A2636" s="57">
        <v>41253</v>
      </c>
      <c r="B2636">
        <v>1.2929999999999999</v>
      </c>
    </row>
    <row r="2637" spans="1:2" x14ac:dyDescent="0.2">
      <c r="A2637" s="57">
        <v>41252</v>
      </c>
    </row>
    <row r="2638" spans="1:2" x14ac:dyDescent="0.2">
      <c r="A2638" s="57">
        <v>41251</v>
      </c>
    </row>
    <row r="2639" spans="1:2" x14ac:dyDescent="0.2">
      <c r="A2639" s="57">
        <v>41250</v>
      </c>
      <c r="B2639">
        <v>1.2905</v>
      </c>
    </row>
    <row r="2640" spans="1:2" x14ac:dyDescent="0.2">
      <c r="A2640" s="57">
        <v>41249</v>
      </c>
      <c r="B2640">
        <v>1.3071999999999999</v>
      </c>
    </row>
    <row r="2641" spans="1:2" x14ac:dyDescent="0.2">
      <c r="A2641" s="57">
        <v>41248</v>
      </c>
      <c r="B2641">
        <v>1.3065</v>
      </c>
    </row>
    <row r="2642" spans="1:2" x14ac:dyDescent="0.2">
      <c r="A2642" s="57">
        <v>41247</v>
      </c>
      <c r="B2642">
        <v>1.3091999999999999</v>
      </c>
    </row>
    <row r="2643" spans="1:2" x14ac:dyDescent="0.2">
      <c r="A2643" s="57">
        <v>41246</v>
      </c>
      <c r="B2643">
        <v>1.3057000000000001</v>
      </c>
    </row>
    <row r="2644" spans="1:2" x14ac:dyDescent="0.2">
      <c r="A2644" s="57">
        <v>41245</v>
      </c>
    </row>
    <row r="2645" spans="1:2" x14ac:dyDescent="0.2">
      <c r="A2645" s="57">
        <v>41244</v>
      </c>
    </row>
    <row r="2646" spans="1:2" x14ac:dyDescent="0.2">
      <c r="A2646" s="57">
        <v>41243</v>
      </c>
      <c r="B2646">
        <v>1.2986</v>
      </c>
    </row>
    <row r="2647" spans="1:2" x14ac:dyDescent="0.2">
      <c r="A2647" s="57">
        <v>41242</v>
      </c>
      <c r="B2647">
        <v>1.2994000000000001</v>
      </c>
    </row>
    <row r="2648" spans="1:2" x14ac:dyDescent="0.2">
      <c r="A2648" s="57">
        <v>41241</v>
      </c>
      <c r="B2648">
        <v>1.2890999999999999</v>
      </c>
    </row>
    <row r="2649" spans="1:2" x14ac:dyDescent="0.2">
      <c r="A2649" s="57">
        <v>41240</v>
      </c>
      <c r="B2649">
        <v>1.2961</v>
      </c>
    </row>
    <row r="2650" spans="1:2" x14ac:dyDescent="0.2">
      <c r="A2650" s="57">
        <v>41239</v>
      </c>
      <c r="B2650">
        <v>1.2964</v>
      </c>
    </row>
    <row r="2651" spans="1:2" x14ac:dyDescent="0.2">
      <c r="A2651" s="57">
        <v>41238</v>
      </c>
    </row>
    <row r="2652" spans="1:2" x14ac:dyDescent="0.2">
      <c r="A2652" s="57">
        <v>41237</v>
      </c>
    </row>
    <row r="2653" spans="1:2" x14ac:dyDescent="0.2">
      <c r="A2653" s="57">
        <v>41236</v>
      </c>
      <c r="B2653">
        <v>1.2908999999999999</v>
      </c>
    </row>
    <row r="2654" spans="1:2" x14ac:dyDescent="0.2">
      <c r="A2654" s="57">
        <v>41235</v>
      </c>
      <c r="B2654">
        <v>1.2892999999999999</v>
      </c>
    </row>
    <row r="2655" spans="1:2" x14ac:dyDescent="0.2">
      <c r="A2655" s="57">
        <v>41234</v>
      </c>
      <c r="B2655">
        <v>1.2805</v>
      </c>
    </row>
    <row r="2656" spans="1:2" x14ac:dyDescent="0.2">
      <c r="A2656" s="57">
        <v>41233</v>
      </c>
      <c r="B2656">
        <v>1.2808999999999999</v>
      </c>
    </row>
    <row r="2657" spans="1:2" x14ac:dyDescent="0.2">
      <c r="A2657" s="57">
        <v>41232</v>
      </c>
      <c r="B2657">
        <v>1.2762</v>
      </c>
    </row>
    <row r="2658" spans="1:2" x14ac:dyDescent="0.2">
      <c r="A2658" s="57">
        <v>41231</v>
      </c>
    </row>
    <row r="2659" spans="1:2" x14ac:dyDescent="0.2">
      <c r="A2659" s="57">
        <v>41230</v>
      </c>
    </row>
    <row r="2660" spans="1:2" x14ac:dyDescent="0.2">
      <c r="A2660" s="57">
        <v>41229</v>
      </c>
      <c r="B2660">
        <v>1.2745</v>
      </c>
    </row>
    <row r="2661" spans="1:2" x14ac:dyDescent="0.2">
      <c r="A2661" s="57">
        <v>41228</v>
      </c>
      <c r="B2661">
        <v>1.2756000000000001</v>
      </c>
    </row>
    <row r="2662" spans="1:2" x14ac:dyDescent="0.2">
      <c r="A2662" s="57">
        <v>41227</v>
      </c>
      <c r="B2662">
        <v>1.2726</v>
      </c>
    </row>
    <row r="2663" spans="1:2" x14ac:dyDescent="0.2">
      <c r="A2663" s="57">
        <v>41226</v>
      </c>
      <c r="B2663">
        <v>1.2696000000000001</v>
      </c>
    </row>
    <row r="2664" spans="1:2" x14ac:dyDescent="0.2">
      <c r="A2664" s="57">
        <v>41225</v>
      </c>
      <c r="B2664">
        <v>1.2735000000000001</v>
      </c>
    </row>
    <row r="2665" spans="1:2" x14ac:dyDescent="0.2">
      <c r="A2665" s="57">
        <v>41224</v>
      </c>
    </row>
    <row r="2666" spans="1:2" x14ac:dyDescent="0.2">
      <c r="A2666" s="57">
        <v>41223</v>
      </c>
    </row>
    <row r="2667" spans="1:2" x14ac:dyDescent="0.2">
      <c r="A2667" s="57">
        <v>41222</v>
      </c>
      <c r="B2667">
        <v>1.2694000000000001</v>
      </c>
    </row>
    <row r="2668" spans="1:2" x14ac:dyDescent="0.2">
      <c r="A2668" s="57">
        <v>41221</v>
      </c>
      <c r="B2668">
        <v>1.2736000000000001</v>
      </c>
    </row>
    <row r="2669" spans="1:2" x14ac:dyDescent="0.2">
      <c r="A2669" s="57">
        <v>41220</v>
      </c>
      <c r="B2669">
        <v>1.2746</v>
      </c>
    </row>
    <row r="2670" spans="1:2" x14ac:dyDescent="0.2">
      <c r="A2670" s="57">
        <v>41219</v>
      </c>
      <c r="B2670">
        <v>1.28</v>
      </c>
    </row>
    <row r="2671" spans="1:2" x14ac:dyDescent="0.2">
      <c r="A2671" s="57">
        <v>41218</v>
      </c>
      <c r="B2671">
        <v>1.2777000000000001</v>
      </c>
    </row>
    <row r="2672" spans="1:2" x14ac:dyDescent="0.2">
      <c r="A2672" s="57">
        <v>41217</v>
      </c>
    </row>
    <row r="2673" spans="1:2" x14ac:dyDescent="0.2">
      <c r="A2673" s="57">
        <v>41216</v>
      </c>
    </row>
    <row r="2674" spans="1:2" x14ac:dyDescent="0.2">
      <c r="A2674" s="57">
        <v>41215</v>
      </c>
      <c r="B2674">
        <v>1.2849999999999999</v>
      </c>
    </row>
    <row r="2675" spans="1:2" x14ac:dyDescent="0.2">
      <c r="A2675" s="57">
        <v>41214</v>
      </c>
      <c r="B2675">
        <v>1.2975000000000001</v>
      </c>
    </row>
    <row r="2676" spans="1:2" x14ac:dyDescent="0.2">
      <c r="A2676" s="57">
        <v>41213</v>
      </c>
      <c r="B2676">
        <v>1.2992999999999999</v>
      </c>
    </row>
    <row r="2677" spans="1:2" x14ac:dyDescent="0.2">
      <c r="A2677" s="57">
        <v>41212</v>
      </c>
      <c r="B2677">
        <v>1.2962</v>
      </c>
    </row>
    <row r="2678" spans="1:2" x14ac:dyDescent="0.2">
      <c r="A2678" s="57">
        <v>41211</v>
      </c>
      <c r="B2678">
        <v>1.2898000000000001</v>
      </c>
    </row>
    <row r="2679" spans="1:2" x14ac:dyDescent="0.2">
      <c r="A2679" s="57">
        <v>41210</v>
      </c>
    </row>
    <row r="2680" spans="1:2" x14ac:dyDescent="0.2">
      <c r="A2680" s="57">
        <v>41209</v>
      </c>
    </row>
    <row r="2681" spans="1:2" x14ac:dyDescent="0.2">
      <c r="A2681" s="57">
        <v>41208</v>
      </c>
      <c r="B2681">
        <v>1.2907999999999999</v>
      </c>
    </row>
    <row r="2682" spans="1:2" x14ac:dyDescent="0.2">
      <c r="A2682" s="57">
        <v>41207</v>
      </c>
      <c r="B2682">
        <v>1.2992999999999999</v>
      </c>
    </row>
    <row r="2683" spans="1:2" x14ac:dyDescent="0.2">
      <c r="A2683" s="57">
        <v>41206</v>
      </c>
      <c r="B2683">
        <v>1.2942</v>
      </c>
    </row>
    <row r="2684" spans="1:2" x14ac:dyDescent="0.2">
      <c r="A2684" s="57">
        <v>41205</v>
      </c>
      <c r="B2684">
        <v>1.3005</v>
      </c>
    </row>
    <row r="2685" spans="1:2" x14ac:dyDescent="0.2">
      <c r="A2685" s="57">
        <v>41204</v>
      </c>
      <c r="B2685">
        <v>1.3063</v>
      </c>
    </row>
    <row r="2686" spans="1:2" x14ac:dyDescent="0.2">
      <c r="A2686" s="57">
        <v>41203</v>
      </c>
    </row>
    <row r="2687" spans="1:2" x14ac:dyDescent="0.2">
      <c r="A2687" s="57">
        <v>41202</v>
      </c>
    </row>
    <row r="2688" spans="1:2" x14ac:dyDescent="0.2">
      <c r="A2688" s="57">
        <v>41201</v>
      </c>
      <c r="B2688">
        <v>1.3035000000000001</v>
      </c>
    </row>
    <row r="2689" spans="1:2" x14ac:dyDescent="0.2">
      <c r="A2689" s="57">
        <v>41200</v>
      </c>
      <c r="B2689">
        <v>1.3118000000000001</v>
      </c>
    </row>
    <row r="2690" spans="1:2" x14ac:dyDescent="0.2">
      <c r="A2690" s="57">
        <v>41199</v>
      </c>
      <c r="B2690">
        <v>1.3120000000000001</v>
      </c>
    </row>
    <row r="2691" spans="1:2" x14ac:dyDescent="0.2">
      <c r="A2691" s="57">
        <v>41198</v>
      </c>
      <c r="B2691">
        <v>1.3046</v>
      </c>
    </row>
    <row r="2692" spans="1:2" x14ac:dyDescent="0.2">
      <c r="A2692" s="57">
        <v>41197</v>
      </c>
      <c r="B2692">
        <v>1.2970999999999999</v>
      </c>
    </row>
    <row r="2693" spans="1:2" x14ac:dyDescent="0.2">
      <c r="A2693" s="57">
        <v>41196</v>
      </c>
    </row>
    <row r="2694" spans="1:2" x14ac:dyDescent="0.2">
      <c r="A2694" s="57">
        <v>41195</v>
      </c>
    </row>
    <row r="2695" spans="1:2" x14ac:dyDescent="0.2">
      <c r="A2695" s="57">
        <v>41194</v>
      </c>
      <c r="B2695">
        <v>1.2969999999999999</v>
      </c>
    </row>
    <row r="2696" spans="1:2" x14ac:dyDescent="0.2">
      <c r="A2696" s="57">
        <v>41193</v>
      </c>
      <c r="B2696">
        <v>1.2918000000000001</v>
      </c>
    </row>
    <row r="2697" spans="1:2" x14ac:dyDescent="0.2">
      <c r="A2697" s="57">
        <v>41192</v>
      </c>
      <c r="B2697">
        <v>1.2888999999999999</v>
      </c>
    </row>
    <row r="2698" spans="1:2" x14ac:dyDescent="0.2">
      <c r="A2698" s="57">
        <v>41191</v>
      </c>
      <c r="B2698">
        <v>1.2952999999999999</v>
      </c>
    </row>
    <row r="2699" spans="1:2" x14ac:dyDescent="0.2">
      <c r="A2699" s="57">
        <v>41190</v>
      </c>
      <c r="B2699">
        <v>1.2958000000000001</v>
      </c>
    </row>
    <row r="2700" spans="1:2" x14ac:dyDescent="0.2">
      <c r="A2700" s="57">
        <v>41189</v>
      </c>
    </row>
    <row r="2701" spans="1:2" x14ac:dyDescent="0.2">
      <c r="A2701" s="57">
        <v>41188</v>
      </c>
    </row>
    <row r="2702" spans="1:2" x14ac:dyDescent="0.2">
      <c r="A2702" s="57">
        <v>41187</v>
      </c>
      <c r="B2702">
        <v>1.3002</v>
      </c>
    </row>
    <row r="2703" spans="1:2" x14ac:dyDescent="0.2">
      <c r="A2703" s="57">
        <v>41186</v>
      </c>
      <c r="B2703">
        <v>1.2950999999999999</v>
      </c>
    </row>
    <row r="2704" spans="1:2" x14ac:dyDescent="0.2">
      <c r="A2704" s="57">
        <v>41185</v>
      </c>
      <c r="B2704">
        <v>1.2904</v>
      </c>
    </row>
    <row r="2705" spans="1:2" x14ac:dyDescent="0.2">
      <c r="A2705" s="57">
        <v>41184</v>
      </c>
      <c r="B2705">
        <v>1.2929999999999999</v>
      </c>
    </row>
    <row r="2706" spans="1:2" x14ac:dyDescent="0.2">
      <c r="A2706" s="57">
        <v>41183</v>
      </c>
      <c r="B2706">
        <v>1.2877000000000001</v>
      </c>
    </row>
    <row r="2707" spans="1:2" x14ac:dyDescent="0.2">
      <c r="A2707" s="57">
        <v>41182</v>
      </c>
    </row>
    <row r="2708" spans="1:2" x14ac:dyDescent="0.2">
      <c r="A2708" s="57">
        <v>41181</v>
      </c>
    </row>
    <row r="2709" spans="1:2" x14ac:dyDescent="0.2">
      <c r="A2709" s="57">
        <v>41180</v>
      </c>
      <c r="B2709">
        <v>1.2929999999999999</v>
      </c>
    </row>
    <row r="2710" spans="1:2" x14ac:dyDescent="0.2">
      <c r="A2710" s="57">
        <v>41179</v>
      </c>
      <c r="B2710">
        <v>1.2874000000000001</v>
      </c>
    </row>
    <row r="2711" spans="1:2" x14ac:dyDescent="0.2">
      <c r="A2711" s="57">
        <v>41178</v>
      </c>
      <c r="B2711">
        <v>1.2845</v>
      </c>
    </row>
    <row r="2712" spans="1:2" x14ac:dyDescent="0.2">
      <c r="A2712" s="57">
        <v>41177</v>
      </c>
      <c r="B2712">
        <v>1.2931999999999999</v>
      </c>
    </row>
    <row r="2713" spans="1:2" x14ac:dyDescent="0.2">
      <c r="A2713" s="57">
        <v>41176</v>
      </c>
      <c r="B2713">
        <v>1.2916000000000001</v>
      </c>
    </row>
    <row r="2714" spans="1:2" x14ac:dyDescent="0.2">
      <c r="A2714" s="57">
        <v>41175</v>
      </c>
    </row>
    <row r="2715" spans="1:2" x14ac:dyDescent="0.2">
      <c r="A2715" s="57">
        <v>41174</v>
      </c>
    </row>
    <row r="2716" spans="1:2" x14ac:dyDescent="0.2">
      <c r="A2716" s="57">
        <v>41173</v>
      </c>
      <c r="B2716">
        <v>1.2988</v>
      </c>
    </row>
    <row r="2717" spans="1:2" x14ac:dyDescent="0.2">
      <c r="A2717" s="57">
        <v>41172</v>
      </c>
      <c r="B2717">
        <v>1.2954000000000001</v>
      </c>
    </row>
    <row r="2718" spans="1:2" x14ac:dyDescent="0.2">
      <c r="A2718" s="57">
        <v>41171</v>
      </c>
      <c r="B2718">
        <v>1.3002</v>
      </c>
    </row>
    <row r="2719" spans="1:2" x14ac:dyDescent="0.2">
      <c r="A2719" s="57">
        <v>41170</v>
      </c>
      <c r="B2719">
        <v>1.3053999999999999</v>
      </c>
    </row>
    <row r="2720" spans="1:2" x14ac:dyDescent="0.2">
      <c r="A2720" s="57">
        <v>41169</v>
      </c>
      <c r="B2720">
        <v>1.3086</v>
      </c>
    </row>
    <row r="2721" spans="1:2" x14ac:dyDescent="0.2">
      <c r="A2721" s="57">
        <v>41168</v>
      </c>
    </row>
    <row r="2722" spans="1:2" x14ac:dyDescent="0.2">
      <c r="A2722" s="57">
        <v>41167</v>
      </c>
    </row>
    <row r="2723" spans="1:2" x14ac:dyDescent="0.2">
      <c r="A2723" s="57">
        <v>41166</v>
      </c>
      <c r="B2723">
        <v>1.3095000000000001</v>
      </c>
    </row>
    <row r="2724" spans="1:2" x14ac:dyDescent="0.2">
      <c r="A2724" s="57">
        <v>41165</v>
      </c>
      <c r="B2724">
        <v>1.2909999999999999</v>
      </c>
    </row>
    <row r="2725" spans="1:2" x14ac:dyDescent="0.2">
      <c r="A2725" s="57">
        <v>41164</v>
      </c>
      <c r="B2725">
        <v>1.2896000000000001</v>
      </c>
    </row>
    <row r="2726" spans="1:2" x14ac:dyDescent="0.2">
      <c r="A2726" s="57">
        <v>41163</v>
      </c>
      <c r="B2726">
        <v>1.2786999999999999</v>
      </c>
    </row>
    <row r="2727" spans="1:2" x14ac:dyDescent="0.2">
      <c r="A2727" s="57">
        <v>41162</v>
      </c>
      <c r="B2727">
        <v>1.2776000000000001</v>
      </c>
    </row>
    <row r="2728" spans="1:2" x14ac:dyDescent="0.2">
      <c r="A2728" s="57">
        <v>41161</v>
      </c>
    </row>
    <row r="2729" spans="1:2" x14ac:dyDescent="0.2">
      <c r="A2729" s="57">
        <v>41160</v>
      </c>
    </row>
    <row r="2730" spans="1:2" x14ac:dyDescent="0.2">
      <c r="A2730" s="57">
        <v>41159</v>
      </c>
      <c r="B2730">
        <v>1.2706</v>
      </c>
    </row>
    <row r="2731" spans="1:2" x14ac:dyDescent="0.2">
      <c r="A2731" s="57">
        <v>41158</v>
      </c>
      <c r="B2731">
        <v>1.2638</v>
      </c>
    </row>
    <row r="2732" spans="1:2" x14ac:dyDescent="0.2">
      <c r="A2732" s="57">
        <v>41157</v>
      </c>
      <c r="B2732">
        <v>1.2578</v>
      </c>
    </row>
    <row r="2733" spans="1:2" x14ac:dyDescent="0.2">
      <c r="A2733" s="57">
        <v>41156</v>
      </c>
      <c r="B2733">
        <v>1.2579</v>
      </c>
    </row>
    <row r="2734" spans="1:2" x14ac:dyDescent="0.2">
      <c r="A2734" s="57">
        <v>41155</v>
      </c>
      <c r="B2734">
        <v>1.2567999999999999</v>
      </c>
    </row>
    <row r="2735" spans="1:2" x14ac:dyDescent="0.2">
      <c r="A2735" s="57">
        <v>41154</v>
      </c>
    </row>
    <row r="2736" spans="1:2" x14ac:dyDescent="0.2">
      <c r="A2736" s="57">
        <v>41153</v>
      </c>
    </row>
    <row r="2737" spans="1:2" x14ac:dyDescent="0.2">
      <c r="A2737" s="57">
        <v>41152</v>
      </c>
      <c r="B2737">
        <v>1.2611000000000001</v>
      </c>
    </row>
    <row r="2738" spans="1:2" x14ac:dyDescent="0.2">
      <c r="A2738" s="57">
        <v>41151</v>
      </c>
      <c r="B2738">
        <v>1.2544</v>
      </c>
    </row>
    <row r="2739" spans="1:2" x14ac:dyDescent="0.2">
      <c r="A2739" s="57">
        <v>41150</v>
      </c>
      <c r="B2739">
        <v>1.2544999999999999</v>
      </c>
    </row>
    <row r="2740" spans="1:2" x14ac:dyDescent="0.2">
      <c r="A2740" s="57">
        <v>41149</v>
      </c>
      <c r="B2740">
        <v>1.2547999999999999</v>
      </c>
    </row>
    <row r="2741" spans="1:2" x14ac:dyDescent="0.2">
      <c r="A2741" s="57">
        <v>41148</v>
      </c>
      <c r="B2741">
        <v>1.2529999999999999</v>
      </c>
    </row>
    <row r="2742" spans="1:2" x14ac:dyDescent="0.2">
      <c r="A2742" s="57">
        <v>41147</v>
      </c>
    </row>
    <row r="2743" spans="1:2" x14ac:dyDescent="0.2">
      <c r="A2743" s="57">
        <v>41146</v>
      </c>
    </row>
    <row r="2744" spans="1:2" x14ac:dyDescent="0.2">
      <c r="A2744" s="57">
        <v>41145</v>
      </c>
      <c r="B2744">
        <v>1.2506999999999999</v>
      </c>
    </row>
    <row r="2745" spans="1:2" x14ac:dyDescent="0.2">
      <c r="A2745" s="57">
        <v>41144</v>
      </c>
      <c r="B2745">
        <v>1.2552000000000001</v>
      </c>
    </row>
    <row r="2746" spans="1:2" x14ac:dyDescent="0.2">
      <c r="A2746" s="57">
        <v>41143</v>
      </c>
      <c r="B2746">
        <v>1.2447999999999999</v>
      </c>
    </row>
    <row r="2747" spans="1:2" x14ac:dyDescent="0.2">
      <c r="A2747" s="57">
        <v>41142</v>
      </c>
      <c r="B2747">
        <v>1.2427999999999999</v>
      </c>
    </row>
    <row r="2748" spans="1:2" x14ac:dyDescent="0.2">
      <c r="A2748" s="57">
        <v>41141</v>
      </c>
      <c r="B2748">
        <v>1.23</v>
      </c>
    </row>
    <row r="2749" spans="1:2" x14ac:dyDescent="0.2">
      <c r="A2749" s="57">
        <v>41140</v>
      </c>
    </row>
    <row r="2750" spans="1:2" x14ac:dyDescent="0.2">
      <c r="A2750" s="57">
        <v>41139</v>
      </c>
    </row>
    <row r="2751" spans="1:2" x14ac:dyDescent="0.2">
      <c r="A2751" s="57">
        <v>41138</v>
      </c>
      <c r="B2751">
        <v>1.2337</v>
      </c>
    </row>
    <row r="2752" spans="1:2" x14ac:dyDescent="0.2">
      <c r="A2752" s="57">
        <v>41137</v>
      </c>
      <c r="B2752">
        <v>1.2279</v>
      </c>
    </row>
    <row r="2753" spans="1:2" x14ac:dyDescent="0.2">
      <c r="A2753" s="57">
        <v>41136</v>
      </c>
      <c r="B2753">
        <v>1.2276</v>
      </c>
    </row>
    <row r="2754" spans="1:2" x14ac:dyDescent="0.2">
      <c r="A2754" s="57">
        <v>41135</v>
      </c>
      <c r="B2754">
        <v>1.2352000000000001</v>
      </c>
    </row>
    <row r="2755" spans="1:2" x14ac:dyDescent="0.2">
      <c r="A2755" s="57">
        <v>41134</v>
      </c>
      <c r="B2755">
        <v>1.2339</v>
      </c>
    </row>
    <row r="2756" spans="1:2" x14ac:dyDescent="0.2">
      <c r="A2756" s="57">
        <v>41133</v>
      </c>
    </row>
    <row r="2757" spans="1:2" x14ac:dyDescent="0.2">
      <c r="A2757" s="57">
        <v>41132</v>
      </c>
    </row>
    <row r="2758" spans="1:2" x14ac:dyDescent="0.2">
      <c r="A2758" s="57">
        <v>41131</v>
      </c>
      <c r="B2758">
        <v>1.2262</v>
      </c>
    </row>
    <row r="2759" spans="1:2" x14ac:dyDescent="0.2">
      <c r="A2759" s="57">
        <v>41130</v>
      </c>
      <c r="B2759">
        <v>1.2301</v>
      </c>
    </row>
    <row r="2760" spans="1:2" x14ac:dyDescent="0.2">
      <c r="A2760" s="57">
        <v>41129</v>
      </c>
      <c r="B2760">
        <v>1.2336</v>
      </c>
    </row>
    <row r="2761" spans="1:2" x14ac:dyDescent="0.2">
      <c r="A2761" s="57">
        <v>41128</v>
      </c>
      <c r="B2761">
        <v>1.2436</v>
      </c>
    </row>
    <row r="2762" spans="1:2" x14ac:dyDescent="0.2">
      <c r="A2762" s="57">
        <v>41127</v>
      </c>
      <c r="B2762">
        <v>1.2379</v>
      </c>
    </row>
    <row r="2763" spans="1:2" x14ac:dyDescent="0.2">
      <c r="A2763" s="57">
        <v>41126</v>
      </c>
    </row>
    <row r="2764" spans="1:2" x14ac:dyDescent="0.2">
      <c r="A2764" s="57">
        <v>41125</v>
      </c>
    </row>
    <row r="2765" spans="1:2" x14ac:dyDescent="0.2">
      <c r="A2765" s="57">
        <v>41124</v>
      </c>
      <c r="B2765">
        <v>1.2244999999999999</v>
      </c>
    </row>
    <row r="2766" spans="1:2" x14ac:dyDescent="0.2">
      <c r="A2766" s="57">
        <v>41123</v>
      </c>
      <c r="B2766">
        <v>1.2345999999999999</v>
      </c>
    </row>
    <row r="2767" spans="1:2" x14ac:dyDescent="0.2">
      <c r="A2767" s="57">
        <v>41122</v>
      </c>
      <c r="B2767">
        <v>1.2298</v>
      </c>
    </row>
    <row r="2768" spans="1:2" x14ac:dyDescent="0.2">
      <c r="A2768" s="57">
        <v>41121</v>
      </c>
      <c r="B2768">
        <v>1.2283999999999999</v>
      </c>
    </row>
    <row r="2769" spans="1:2" x14ac:dyDescent="0.2">
      <c r="A2769" s="57">
        <v>41120</v>
      </c>
      <c r="B2769">
        <v>1.2245999999999999</v>
      </c>
    </row>
    <row r="2770" spans="1:2" x14ac:dyDescent="0.2">
      <c r="A2770" s="57">
        <v>41119</v>
      </c>
    </row>
    <row r="2771" spans="1:2" x14ac:dyDescent="0.2">
      <c r="A2771" s="57">
        <v>41118</v>
      </c>
    </row>
    <row r="2772" spans="1:2" x14ac:dyDescent="0.2">
      <c r="A2772" s="57">
        <v>41117</v>
      </c>
      <c r="B2772">
        <v>1.2317</v>
      </c>
    </row>
    <row r="2773" spans="1:2" x14ac:dyDescent="0.2">
      <c r="A2773" s="57">
        <v>41116</v>
      </c>
      <c r="B2773">
        <v>1.226</v>
      </c>
    </row>
    <row r="2774" spans="1:2" x14ac:dyDescent="0.2">
      <c r="A2774" s="57">
        <v>41115</v>
      </c>
      <c r="B2774">
        <v>1.2134</v>
      </c>
    </row>
    <row r="2775" spans="1:2" x14ac:dyDescent="0.2">
      <c r="A2775" s="57">
        <v>41114</v>
      </c>
      <c r="B2775">
        <v>1.2089000000000001</v>
      </c>
    </row>
    <row r="2776" spans="1:2" x14ac:dyDescent="0.2">
      <c r="A2776" s="57">
        <v>41113</v>
      </c>
      <c r="B2776">
        <v>1.2104999999999999</v>
      </c>
    </row>
    <row r="2777" spans="1:2" x14ac:dyDescent="0.2">
      <c r="A2777" s="57">
        <v>41112</v>
      </c>
    </row>
    <row r="2778" spans="1:2" x14ac:dyDescent="0.2">
      <c r="A2778" s="57">
        <v>41111</v>
      </c>
    </row>
    <row r="2779" spans="1:2" x14ac:dyDescent="0.2">
      <c r="A2779" s="57">
        <v>41110</v>
      </c>
      <c r="B2779">
        <v>1.22</v>
      </c>
    </row>
    <row r="2780" spans="1:2" x14ac:dyDescent="0.2">
      <c r="A2780" s="57">
        <v>41109</v>
      </c>
      <c r="B2780">
        <v>1.2286999999999999</v>
      </c>
    </row>
    <row r="2781" spans="1:2" x14ac:dyDescent="0.2">
      <c r="A2781" s="57">
        <v>41108</v>
      </c>
      <c r="B2781">
        <v>1.2234</v>
      </c>
    </row>
    <row r="2782" spans="1:2" x14ac:dyDescent="0.2">
      <c r="A2782" s="57">
        <v>41107</v>
      </c>
      <c r="B2782">
        <v>1.2281</v>
      </c>
    </row>
    <row r="2783" spans="1:2" x14ac:dyDescent="0.2">
      <c r="A2783" s="57">
        <v>41106</v>
      </c>
      <c r="B2783">
        <v>1.2177</v>
      </c>
    </row>
    <row r="2784" spans="1:2" x14ac:dyDescent="0.2">
      <c r="A2784" s="57">
        <v>41105</v>
      </c>
    </row>
    <row r="2785" spans="1:2" x14ac:dyDescent="0.2">
      <c r="A2785" s="57">
        <v>41104</v>
      </c>
    </row>
    <row r="2786" spans="1:2" x14ac:dyDescent="0.2">
      <c r="A2786" s="57">
        <v>41103</v>
      </c>
      <c r="B2786">
        <v>1.2184999999999999</v>
      </c>
    </row>
    <row r="2787" spans="1:2" x14ac:dyDescent="0.2">
      <c r="A2787" s="57">
        <v>41102</v>
      </c>
      <c r="B2787">
        <v>1.2178</v>
      </c>
    </row>
    <row r="2788" spans="1:2" x14ac:dyDescent="0.2">
      <c r="A2788" s="57">
        <v>41101</v>
      </c>
      <c r="B2788">
        <v>1.226</v>
      </c>
    </row>
    <row r="2789" spans="1:2" x14ac:dyDescent="0.2">
      <c r="A2789" s="57">
        <v>41100</v>
      </c>
      <c r="B2789">
        <v>1.2284999999999999</v>
      </c>
    </row>
    <row r="2790" spans="1:2" x14ac:dyDescent="0.2">
      <c r="A2790" s="57">
        <v>41099</v>
      </c>
      <c r="B2790">
        <v>1.2293000000000001</v>
      </c>
    </row>
    <row r="2791" spans="1:2" x14ac:dyDescent="0.2">
      <c r="A2791" s="57">
        <v>41098</v>
      </c>
    </row>
    <row r="2792" spans="1:2" x14ac:dyDescent="0.2">
      <c r="A2792" s="57">
        <v>41097</v>
      </c>
    </row>
    <row r="2793" spans="1:2" x14ac:dyDescent="0.2">
      <c r="A2793" s="57">
        <v>41096</v>
      </c>
      <c r="B2793">
        <v>1.2377</v>
      </c>
    </row>
    <row r="2794" spans="1:2" x14ac:dyDescent="0.2">
      <c r="A2794" s="57">
        <v>41095</v>
      </c>
      <c r="B2794">
        <v>1.2425999999999999</v>
      </c>
    </row>
    <row r="2795" spans="1:2" x14ac:dyDescent="0.2">
      <c r="A2795" s="57">
        <v>41094</v>
      </c>
      <c r="B2795">
        <v>1.256</v>
      </c>
    </row>
    <row r="2796" spans="1:2" x14ac:dyDescent="0.2">
      <c r="A2796" s="57">
        <v>41093</v>
      </c>
      <c r="B2796">
        <v>1.2575000000000001</v>
      </c>
    </row>
    <row r="2797" spans="1:2" x14ac:dyDescent="0.2">
      <c r="A2797" s="57">
        <v>41092</v>
      </c>
      <c r="B2797">
        <v>1.2593000000000001</v>
      </c>
    </row>
    <row r="2798" spans="1:2" x14ac:dyDescent="0.2">
      <c r="A2798" s="57">
        <v>41091</v>
      </c>
    </row>
    <row r="2799" spans="1:2" x14ac:dyDescent="0.2">
      <c r="A2799" s="57">
        <v>41090</v>
      </c>
    </row>
    <row r="2800" spans="1:2" x14ac:dyDescent="0.2">
      <c r="A2800" s="57">
        <v>41089</v>
      </c>
      <c r="B2800">
        <v>1.2589999999999999</v>
      </c>
    </row>
    <row r="2801" spans="1:2" x14ac:dyDescent="0.2">
      <c r="A2801" s="57">
        <v>41088</v>
      </c>
      <c r="B2801">
        <v>1.2418</v>
      </c>
    </row>
    <row r="2802" spans="1:2" x14ac:dyDescent="0.2">
      <c r="A2802" s="57">
        <v>41087</v>
      </c>
      <c r="B2802">
        <v>1.2478</v>
      </c>
    </row>
    <row r="2803" spans="1:2" x14ac:dyDescent="0.2">
      <c r="A2803" s="57">
        <v>41086</v>
      </c>
      <c r="B2803">
        <v>1.2475000000000001</v>
      </c>
    </row>
    <row r="2804" spans="1:2" x14ac:dyDescent="0.2">
      <c r="A2804" s="57">
        <v>41085</v>
      </c>
      <c r="B2804">
        <v>1.2487999999999999</v>
      </c>
    </row>
    <row r="2805" spans="1:2" x14ac:dyDescent="0.2">
      <c r="A2805" s="57">
        <v>41084</v>
      </c>
    </row>
    <row r="2806" spans="1:2" x14ac:dyDescent="0.2">
      <c r="A2806" s="57">
        <v>41083</v>
      </c>
    </row>
    <row r="2807" spans="1:2" x14ac:dyDescent="0.2">
      <c r="A2807" s="57">
        <v>41082</v>
      </c>
      <c r="B2807">
        <v>1.2539</v>
      </c>
    </row>
    <row r="2808" spans="1:2" x14ac:dyDescent="0.2">
      <c r="A2808" s="57">
        <v>41081</v>
      </c>
      <c r="B2808">
        <v>1.2669999999999999</v>
      </c>
    </row>
    <row r="2809" spans="1:2" x14ac:dyDescent="0.2">
      <c r="A2809" s="57">
        <v>41080</v>
      </c>
      <c r="B2809">
        <v>1.2704</v>
      </c>
    </row>
    <row r="2810" spans="1:2" x14ac:dyDescent="0.2">
      <c r="A2810" s="57">
        <v>41079</v>
      </c>
      <c r="B2810">
        <v>1.2619</v>
      </c>
    </row>
    <row r="2811" spans="1:2" x14ac:dyDescent="0.2">
      <c r="A2811" s="57">
        <v>41078</v>
      </c>
      <c r="B2811">
        <v>1.2618</v>
      </c>
    </row>
    <row r="2812" spans="1:2" x14ac:dyDescent="0.2">
      <c r="A2812" s="57">
        <v>41077</v>
      </c>
    </row>
    <row r="2813" spans="1:2" x14ac:dyDescent="0.2">
      <c r="A2813" s="57">
        <v>41076</v>
      </c>
    </row>
    <row r="2814" spans="1:2" x14ac:dyDescent="0.2">
      <c r="A2814" s="57">
        <v>41075</v>
      </c>
      <c r="B2814">
        <v>1.2596000000000001</v>
      </c>
    </row>
    <row r="2815" spans="1:2" x14ac:dyDescent="0.2">
      <c r="A2815" s="57">
        <v>41074</v>
      </c>
      <c r="B2815">
        <v>1.2551000000000001</v>
      </c>
    </row>
    <row r="2816" spans="1:2" x14ac:dyDescent="0.2">
      <c r="A2816" s="57">
        <v>41073</v>
      </c>
      <c r="B2816">
        <v>1.2534000000000001</v>
      </c>
    </row>
    <row r="2817" spans="1:2" x14ac:dyDescent="0.2">
      <c r="A2817" s="57">
        <v>41072</v>
      </c>
      <c r="B2817">
        <v>1.2492000000000001</v>
      </c>
    </row>
    <row r="2818" spans="1:2" x14ac:dyDescent="0.2">
      <c r="A2818" s="57">
        <v>41071</v>
      </c>
      <c r="B2818">
        <v>1.2544</v>
      </c>
    </row>
    <row r="2819" spans="1:2" x14ac:dyDescent="0.2">
      <c r="A2819" s="57">
        <v>41070</v>
      </c>
    </row>
    <row r="2820" spans="1:2" x14ac:dyDescent="0.2">
      <c r="A2820" s="57">
        <v>41069</v>
      </c>
    </row>
    <row r="2821" spans="1:2" x14ac:dyDescent="0.2">
      <c r="A2821" s="57">
        <v>41068</v>
      </c>
      <c r="B2821">
        <v>1.2467999999999999</v>
      </c>
    </row>
    <row r="2822" spans="1:2" x14ac:dyDescent="0.2">
      <c r="A2822" s="57">
        <v>41067</v>
      </c>
      <c r="B2822">
        <v>1.2595000000000001</v>
      </c>
    </row>
    <row r="2823" spans="1:2" x14ac:dyDescent="0.2">
      <c r="A2823" s="57">
        <v>41066</v>
      </c>
      <c r="B2823">
        <v>1.2484999999999999</v>
      </c>
    </row>
    <row r="2824" spans="1:2" x14ac:dyDescent="0.2">
      <c r="A2824" s="57">
        <v>41065</v>
      </c>
      <c r="B2824">
        <v>1.2428999999999999</v>
      </c>
    </row>
    <row r="2825" spans="1:2" x14ac:dyDescent="0.2">
      <c r="A2825" s="57">
        <v>41064</v>
      </c>
      <c r="B2825">
        <v>1.2437</v>
      </c>
    </row>
    <row r="2826" spans="1:2" x14ac:dyDescent="0.2">
      <c r="A2826" s="57">
        <v>41063</v>
      </c>
    </row>
    <row r="2827" spans="1:2" x14ac:dyDescent="0.2">
      <c r="A2827" s="57">
        <v>41062</v>
      </c>
    </row>
    <row r="2828" spans="1:2" x14ac:dyDescent="0.2">
      <c r="A2828" s="57">
        <v>41061</v>
      </c>
      <c r="B2828">
        <v>1.2322</v>
      </c>
    </row>
    <row r="2829" spans="1:2" x14ac:dyDescent="0.2">
      <c r="A2829" s="57">
        <v>41060</v>
      </c>
      <c r="B2829">
        <v>1.2403</v>
      </c>
    </row>
    <row r="2830" spans="1:2" x14ac:dyDescent="0.2">
      <c r="A2830" s="57">
        <v>41059</v>
      </c>
      <c r="B2830">
        <v>1.2438</v>
      </c>
    </row>
    <row r="2831" spans="1:2" x14ac:dyDescent="0.2">
      <c r="A2831" s="57">
        <v>41058</v>
      </c>
      <c r="B2831">
        <v>1.2523</v>
      </c>
    </row>
    <row r="2832" spans="1:2" x14ac:dyDescent="0.2">
      <c r="A2832" s="57">
        <v>41057</v>
      </c>
      <c r="B2832">
        <v>1.2565999999999999</v>
      </c>
    </row>
    <row r="2833" spans="1:2" x14ac:dyDescent="0.2">
      <c r="A2833" s="57">
        <v>41056</v>
      </c>
    </row>
    <row r="2834" spans="1:2" x14ac:dyDescent="0.2">
      <c r="A2834" s="57">
        <v>41055</v>
      </c>
    </row>
    <row r="2835" spans="1:2" x14ac:dyDescent="0.2">
      <c r="A2835" s="57">
        <v>41054</v>
      </c>
      <c r="B2835">
        <v>1.2545999999999999</v>
      </c>
    </row>
    <row r="2836" spans="1:2" x14ac:dyDescent="0.2">
      <c r="A2836" s="57">
        <v>41053</v>
      </c>
      <c r="B2836">
        <v>1.2557</v>
      </c>
    </row>
    <row r="2837" spans="1:2" x14ac:dyDescent="0.2">
      <c r="A2837" s="57">
        <v>41052</v>
      </c>
      <c r="B2837">
        <v>1.2659</v>
      </c>
    </row>
    <row r="2838" spans="1:2" x14ac:dyDescent="0.2">
      <c r="A2838" s="57">
        <v>41051</v>
      </c>
      <c r="B2838">
        <v>1.2767999999999999</v>
      </c>
    </row>
    <row r="2839" spans="1:2" x14ac:dyDescent="0.2">
      <c r="A2839" s="57">
        <v>41050</v>
      </c>
      <c r="B2839">
        <v>1.2749999999999999</v>
      </c>
    </row>
    <row r="2840" spans="1:2" x14ac:dyDescent="0.2">
      <c r="A2840" s="57">
        <v>41049</v>
      </c>
    </row>
    <row r="2841" spans="1:2" x14ac:dyDescent="0.2">
      <c r="A2841" s="57">
        <v>41048</v>
      </c>
    </row>
    <row r="2842" spans="1:2" x14ac:dyDescent="0.2">
      <c r="A2842" s="57">
        <v>41047</v>
      </c>
      <c r="B2842">
        <v>1.2721</v>
      </c>
    </row>
    <row r="2843" spans="1:2" x14ac:dyDescent="0.2">
      <c r="A2843" s="57">
        <v>41046</v>
      </c>
      <c r="B2843">
        <v>1.2682</v>
      </c>
    </row>
    <row r="2844" spans="1:2" x14ac:dyDescent="0.2">
      <c r="A2844" s="57">
        <v>41045</v>
      </c>
      <c r="B2844">
        <v>1.2738</v>
      </c>
    </row>
    <row r="2845" spans="1:2" x14ac:dyDescent="0.2">
      <c r="A2845" s="57">
        <v>41044</v>
      </c>
      <c r="B2845">
        <v>1.2843</v>
      </c>
    </row>
    <row r="2846" spans="1:2" x14ac:dyDescent="0.2">
      <c r="A2846" s="57">
        <v>41043</v>
      </c>
      <c r="B2846">
        <v>1.2863</v>
      </c>
    </row>
    <row r="2847" spans="1:2" x14ac:dyDescent="0.2">
      <c r="A2847" s="57">
        <v>41042</v>
      </c>
    </row>
    <row r="2848" spans="1:2" x14ac:dyDescent="0.2">
      <c r="A2848" s="57">
        <v>41041</v>
      </c>
    </row>
    <row r="2849" spans="1:2" x14ac:dyDescent="0.2">
      <c r="A2849" s="57">
        <v>41040</v>
      </c>
      <c r="B2849">
        <v>1.2944</v>
      </c>
    </row>
    <row r="2850" spans="1:2" x14ac:dyDescent="0.2">
      <c r="A2850" s="57">
        <v>41039</v>
      </c>
      <c r="B2850">
        <v>1.2961</v>
      </c>
    </row>
    <row r="2851" spans="1:2" x14ac:dyDescent="0.2">
      <c r="A2851" s="57">
        <v>41038</v>
      </c>
      <c r="B2851">
        <v>1.2949999999999999</v>
      </c>
    </row>
    <row r="2852" spans="1:2" x14ac:dyDescent="0.2">
      <c r="A2852" s="57">
        <v>41037</v>
      </c>
      <c r="B2852">
        <v>1.3025</v>
      </c>
    </row>
    <row r="2853" spans="1:2" x14ac:dyDescent="0.2">
      <c r="A2853" s="57">
        <v>41036</v>
      </c>
      <c r="B2853">
        <v>1.3032999999999999</v>
      </c>
    </row>
    <row r="2854" spans="1:2" x14ac:dyDescent="0.2">
      <c r="A2854" s="57">
        <v>41035</v>
      </c>
    </row>
    <row r="2855" spans="1:2" x14ac:dyDescent="0.2">
      <c r="A2855" s="57">
        <v>41034</v>
      </c>
    </row>
    <row r="2856" spans="1:2" x14ac:dyDescent="0.2">
      <c r="A2856" s="57">
        <v>41033</v>
      </c>
      <c r="B2856">
        <v>1.3131999999999999</v>
      </c>
    </row>
    <row r="2857" spans="1:2" x14ac:dyDescent="0.2">
      <c r="A2857" s="57">
        <v>41032</v>
      </c>
      <c r="B2857">
        <v>1.3123</v>
      </c>
    </row>
    <row r="2858" spans="1:2" x14ac:dyDescent="0.2">
      <c r="A2858" s="57">
        <v>41031</v>
      </c>
      <c r="B2858">
        <v>1.3130999999999999</v>
      </c>
    </row>
    <row r="2859" spans="1:2" x14ac:dyDescent="0.2">
      <c r="A2859" s="57">
        <v>41030</v>
      </c>
    </row>
    <row r="2860" spans="1:2" x14ac:dyDescent="0.2">
      <c r="A2860" s="57">
        <v>41029</v>
      </c>
      <c r="B2860">
        <v>1.3213999999999999</v>
      </c>
    </row>
    <row r="2861" spans="1:2" x14ac:dyDescent="0.2">
      <c r="A2861" s="57">
        <v>41028</v>
      </c>
    </row>
    <row r="2862" spans="1:2" x14ac:dyDescent="0.2">
      <c r="A2862" s="57">
        <v>41027</v>
      </c>
    </row>
    <row r="2863" spans="1:2" x14ac:dyDescent="0.2">
      <c r="A2863" s="57">
        <v>41026</v>
      </c>
      <c r="B2863">
        <v>1.3229</v>
      </c>
    </row>
    <row r="2864" spans="1:2" x14ac:dyDescent="0.2">
      <c r="A2864" s="57">
        <v>41025</v>
      </c>
      <c r="B2864">
        <v>1.3214999999999999</v>
      </c>
    </row>
    <row r="2865" spans="1:2" x14ac:dyDescent="0.2">
      <c r="A2865" s="57">
        <v>41024</v>
      </c>
      <c r="B2865">
        <v>1.3206</v>
      </c>
    </row>
    <row r="2866" spans="1:2" x14ac:dyDescent="0.2">
      <c r="A2866" s="57">
        <v>41023</v>
      </c>
      <c r="B2866">
        <v>1.3161</v>
      </c>
    </row>
    <row r="2867" spans="1:2" x14ac:dyDescent="0.2">
      <c r="A2867" s="57">
        <v>41022</v>
      </c>
      <c r="B2867">
        <v>1.3130999999999999</v>
      </c>
    </row>
    <row r="2868" spans="1:2" x14ac:dyDescent="0.2">
      <c r="A2868" s="57">
        <v>41021</v>
      </c>
    </row>
    <row r="2869" spans="1:2" x14ac:dyDescent="0.2">
      <c r="A2869" s="57">
        <v>41020</v>
      </c>
    </row>
    <row r="2870" spans="1:2" x14ac:dyDescent="0.2">
      <c r="A2870" s="57">
        <v>41019</v>
      </c>
      <c r="B2870">
        <v>1.3191999999999999</v>
      </c>
    </row>
    <row r="2871" spans="1:2" x14ac:dyDescent="0.2">
      <c r="A2871" s="57">
        <v>41018</v>
      </c>
      <c r="B2871">
        <v>1.3086</v>
      </c>
    </row>
    <row r="2872" spans="1:2" x14ac:dyDescent="0.2">
      <c r="A2872" s="57">
        <v>41017</v>
      </c>
      <c r="B2872">
        <v>1.3092999999999999</v>
      </c>
    </row>
    <row r="2873" spans="1:2" x14ac:dyDescent="0.2">
      <c r="A2873" s="57">
        <v>41016</v>
      </c>
      <c r="B2873">
        <v>1.3131999999999999</v>
      </c>
    </row>
    <row r="2874" spans="1:2" x14ac:dyDescent="0.2">
      <c r="A2874" s="57">
        <v>41015</v>
      </c>
      <c r="B2874">
        <v>1.3024</v>
      </c>
    </row>
    <row r="2875" spans="1:2" x14ac:dyDescent="0.2">
      <c r="A2875" s="57">
        <v>41014</v>
      </c>
    </row>
    <row r="2876" spans="1:2" x14ac:dyDescent="0.2">
      <c r="A2876" s="57">
        <v>41013</v>
      </c>
    </row>
    <row r="2877" spans="1:2" x14ac:dyDescent="0.2">
      <c r="A2877" s="57">
        <v>41012</v>
      </c>
      <c r="B2877">
        <v>1.3148</v>
      </c>
    </row>
    <row r="2878" spans="1:2" x14ac:dyDescent="0.2">
      <c r="A2878" s="57">
        <v>41011</v>
      </c>
      <c r="B2878">
        <v>1.3152999999999999</v>
      </c>
    </row>
    <row r="2879" spans="1:2" x14ac:dyDescent="0.2">
      <c r="A2879" s="57">
        <v>41010</v>
      </c>
      <c r="B2879">
        <v>1.3130999999999999</v>
      </c>
    </row>
    <row r="2880" spans="1:2" x14ac:dyDescent="0.2">
      <c r="A2880" s="57">
        <v>41009</v>
      </c>
      <c r="B2880">
        <v>1.3113999999999999</v>
      </c>
    </row>
    <row r="2881" spans="1:2" x14ac:dyDescent="0.2">
      <c r="A2881" s="57">
        <v>41008</v>
      </c>
    </row>
    <row r="2882" spans="1:2" x14ac:dyDescent="0.2">
      <c r="A2882" s="57">
        <v>41007</v>
      </c>
    </row>
    <row r="2883" spans="1:2" x14ac:dyDescent="0.2">
      <c r="A2883" s="57">
        <v>41006</v>
      </c>
    </row>
    <row r="2884" spans="1:2" x14ac:dyDescent="0.2">
      <c r="A2884" s="57">
        <v>41005</v>
      </c>
    </row>
    <row r="2885" spans="1:2" x14ac:dyDescent="0.2">
      <c r="A2885" s="57">
        <v>41004</v>
      </c>
      <c r="B2885">
        <v>1.3068</v>
      </c>
    </row>
    <row r="2886" spans="1:2" x14ac:dyDescent="0.2">
      <c r="A2886" s="57">
        <v>41003</v>
      </c>
      <c r="B2886">
        <v>1.3142</v>
      </c>
    </row>
    <row r="2887" spans="1:2" x14ac:dyDescent="0.2">
      <c r="A2887" s="57">
        <v>41002</v>
      </c>
      <c r="B2887">
        <v>1.3314999999999999</v>
      </c>
    </row>
    <row r="2888" spans="1:2" x14ac:dyDescent="0.2">
      <c r="A2888" s="57">
        <v>41001</v>
      </c>
      <c r="B2888">
        <v>1.3319000000000001</v>
      </c>
    </row>
    <row r="2889" spans="1:2" x14ac:dyDescent="0.2">
      <c r="A2889" s="57">
        <v>41000</v>
      </c>
    </row>
    <row r="2890" spans="1:2" x14ac:dyDescent="0.2">
      <c r="A2890" s="57">
        <v>40999</v>
      </c>
    </row>
    <row r="2891" spans="1:2" x14ac:dyDescent="0.2">
      <c r="A2891" s="57">
        <v>40998</v>
      </c>
      <c r="B2891">
        <v>1.3355999999999999</v>
      </c>
    </row>
    <row r="2892" spans="1:2" x14ac:dyDescent="0.2">
      <c r="A2892" s="57">
        <v>40997</v>
      </c>
      <c r="B2892">
        <v>1.3271999999999999</v>
      </c>
    </row>
    <row r="2893" spans="1:2" x14ac:dyDescent="0.2">
      <c r="A2893" s="57">
        <v>40996</v>
      </c>
      <c r="B2893">
        <v>1.3337000000000001</v>
      </c>
    </row>
    <row r="2894" spans="1:2" x14ac:dyDescent="0.2">
      <c r="A2894" s="57">
        <v>40995</v>
      </c>
      <c r="B2894">
        <v>1.3332999999999999</v>
      </c>
    </row>
    <row r="2895" spans="1:2" x14ac:dyDescent="0.2">
      <c r="A2895" s="57">
        <v>40994</v>
      </c>
      <c r="B2895">
        <v>1.3275999999999999</v>
      </c>
    </row>
    <row r="2896" spans="1:2" x14ac:dyDescent="0.2">
      <c r="A2896" s="57">
        <v>40993</v>
      </c>
    </row>
    <row r="2897" spans="1:2" x14ac:dyDescent="0.2">
      <c r="A2897" s="57">
        <v>40992</v>
      </c>
    </row>
    <row r="2898" spans="1:2" x14ac:dyDescent="0.2">
      <c r="A2898" s="57">
        <v>40991</v>
      </c>
      <c r="B2898">
        <v>1.3242</v>
      </c>
    </row>
    <row r="2899" spans="1:2" x14ac:dyDescent="0.2">
      <c r="A2899" s="57">
        <v>40990</v>
      </c>
      <c r="B2899">
        <v>1.3167</v>
      </c>
    </row>
    <row r="2900" spans="1:2" x14ac:dyDescent="0.2">
      <c r="A2900" s="57">
        <v>40989</v>
      </c>
      <c r="B2900">
        <v>1.3225</v>
      </c>
    </row>
    <row r="2901" spans="1:2" x14ac:dyDescent="0.2">
      <c r="A2901" s="57">
        <v>40988</v>
      </c>
      <c r="B2901">
        <v>1.3198000000000001</v>
      </c>
    </row>
    <row r="2902" spans="1:2" x14ac:dyDescent="0.2">
      <c r="A2902" s="57">
        <v>40987</v>
      </c>
      <c r="B2902">
        <v>1.3149999999999999</v>
      </c>
    </row>
    <row r="2903" spans="1:2" x14ac:dyDescent="0.2">
      <c r="A2903" s="57">
        <v>40986</v>
      </c>
    </row>
    <row r="2904" spans="1:2" x14ac:dyDescent="0.2">
      <c r="A2904" s="57">
        <v>40985</v>
      </c>
    </row>
    <row r="2905" spans="1:2" x14ac:dyDescent="0.2">
      <c r="A2905" s="57">
        <v>40984</v>
      </c>
      <c r="B2905">
        <v>1.3116000000000001</v>
      </c>
    </row>
    <row r="2906" spans="1:2" x14ac:dyDescent="0.2">
      <c r="A2906" s="57">
        <v>40983</v>
      </c>
      <c r="B2906">
        <v>1.3057000000000001</v>
      </c>
    </row>
    <row r="2907" spans="1:2" x14ac:dyDescent="0.2">
      <c r="A2907" s="57">
        <v>40982</v>
      </c>
      <c r="B2907">
        <v>1.3062</v>
      </c>
    </row>
    <row r="2908" spans="1:2" x14ac:dyDescent="0.2">
      <c r="A2908" s="57">
        <v>40981</v>
      </c>
      <c r="B2908">
        <v>1.3057000000000001</v>
      </c>
    </row>
    <row r="2909" spans="1:2" x14ac:dyDescent="0.2">
      <c r="A2909" s="57">
        <v>40980</v>
      </c>
      <c r="B2909">
        <v>1.3119000000000001</v>
      </c>
    </row>
    <row r="2910" spans="1:2" x14ac:dyDescent="0.2">
      <c r="A2910" s="57">
        <v>40979</v>
      </c>
    </row>
    <row r="2911" spans="1:2" x14ac:dyDescent="0.2">
      <c r="A2911" s="57">
        <v>40978</v>
      </c>
    </row>
    <row r="2912" spans="1:2" x14ac:dyDescent="0.2">
      <c r="A2912" s="57">
        <v>40977</v>
      </c>
      <c r="B2912">
        <v>1.3190999999999999</v>
      </c>
    </row>
    <row r="2913" spans="1:2" x14ac:dyDescent="0.2">
      <c r="A2913" s="57">
        <v>40976</v>
      </c>
      <c r="B2913">
        <v>1.3242</v>
      </c>
    </row>
    <row r="2914" spans="1:2" x14ac:dyDescent="0.2">
      <c r="A2914" s="57">
        <v>40975</v>
      </c>
      <c r="B2914">
        <v>1.3120000000000001</v>
      </c>
    </row>
    <row r="2915" spans="1:2" x14ac:dyDescent="0.2">
      <c r="A2915" s="57">
        <v>40974</v>
      </c>
      <c r="B2915">
        <v>1.3152999999999999</v>
      </c>
    </row>
    <row r="2916" spans="1:2" x14ac:dyDescent="0.2">
      <c r="A2916" s="57">
        <v>40973</v>
      </c>
      <c r="B2916">
        <v>1.3220000000000001</v>
      </c>
    </row>
    <row r="2917" spans="1:2" x14ac:dyDescent="0.2">
      <c r="A2917" s="57">
        <v>40972</v>
      </c>
    </row>
    <row r="2918" spans="1:2" x14ac:dyDescent="0.2">
      <c r="A2918" s="57">
        <v>40971</v>
      </c>
    </row>
    <row r="2919" spans="1:2" x14ac:dyDescent="0.2">
      <c r="A2919" s="57">
        <v>40970</v>
      </c>
      <c r="B2919">
        <v>1.3217000000000001</v>
      </c>
    </row>
    <row r="2920" spans="1:2" x14ac:dyDescent="0.2">
      <c r="A2920" s="57">
        <v>40969</v>
      </c>
      <c r="B2920">
        <v>1.3311999999999999</v>
      </c>
    </row>
    <row r="2921" spans="1:2" x14ac:dyDescent="0.2">
      <c r="A2921" s="57">
        <v>40968</v>
      </c>
      <c r="B2921">
        <v>1.3443000000000001</v>
      </c>
    </row>
    <row r="2922" spans="1:2" x14ac:dyDescent="0.2">
      <c r="A2922" s="57">
        <v>40967</v>
      </c>
      <c r="B2922">
        <v>1.3453999999999999</v>
      </c>
    </row>
    <row r="2923" spans="1:2" x14ac:dyDescent="0.2">
      <c r="A2923" s="57">
        <v>40966</v>
      </c>
      <c r="B2923">
        <v>1.3388</v>
      </c>
    </row>
    <row r="2924" spans="1:2" x14ac:dyDescent="0.2">
      <c r="A2924" s="57">
        <v>40965</v>
      </c>
    </row>
    <row r="2925" spans="1:2" x14ac:dyDescent="0.2">
      <c r="A2925" s="57">
        <v>40964</v>
      </c>
    </row>
    <row r="2926" spans="1:2" x14ac:dyDescent="0.2">
      <c r="A2926" s="57">
        <v>40963</v>
      </c>
      <c r="B2926">
        <v>1.3411999999999999</v>
      </c>
    </row>
    <row r="2927" spans="1:2" x14ac:dyDescent="0.2">
      <c r="A2927" s="57">
        <v>40962</v>
      </c>
      <c r="B2927">
        <v>1.33</v>
      </c>
    </row>
    <row r="2928" spans="1:2" x14ac:dyDescent="0.2">
      <c r="A2928" s="57">
        <v>40961</v>
      </c>
      <c r="B2928">
        <v>1.323</v>
      </c>
    </row>
    <row r="2929" spans="1:2" x14ac:dyDescent="0.2">
      <c r="A2929" s="57">
        <v>40960</v>
      </c>
      <c r="B2929">
        <v>1.3222</v>
      </c>
    </row>
    <row r="2930" spans="1:2" x14ac:dyDescent="0.2">
      <c r="A2930" s="57">
        <v>40959</v>
      </c>
      <c r="B2930">
        <v>1.3266</v>
      </c>
    </row>
    <row r="2931" spans="1:2" x14ac:dyDescent="0.2">
      <c r="A2931" s="57">
        <v>40958</v>
      </c>
    </row>
    <row r="2932" spans="1:2" x14ac:dyDescent="0.2">
      <c r="A2932" s="57">
        <v>40957</v>
      </c>
    </row>
    <row r="2933" spans="1:2" x14ac:dyDescent="0.2">
      <c r="A2933" s="57">
        <v>40956</v>
      </c>
      <c r="B2933">
        <v>1.3159000000000001</v>
      </c>
    </row>
    <row r="2934" spans="1:2" x14ac:dyDescent="0.2">
      <c r="A2934" s="57">
        <v>40955</v>
      </c>
      <c r="B2934">
        <v>1.2982</v>
      </c>
    </row>
    <row r="2935" spans="1:2" x14ac:dyDescent="0.2">
      <c r="A2935" s="57">
        <v>40954</v>
      </c>
      <c r="B2935">
        <v>1.3091999999999999</v>
      </c>
    </row>
    <row r="2936" spans="1:2" x14ac:dyDescent="0.2">
      <c r="A2936" s="57">
        <v>40953</v>
      </c>
      <c r="B2936">
        <v>1.3169</v>
      </c>
    </row>
    <row r="2937" spans="1:2" x14ac:dyDescent="0.2">
      <c r="A2937" s="57">
        <v>40952</v>
      </c>
      <c r="B2937">
        <v>1.3253999999999999</v>
      </c>
    </row>
    <row r="2938" spans="1:2" x14ac:dyDescent="0.2">
      <c r="A2938" s="57">
        <v>40951</v>
      </c>
    </row>
    <row r="2939" spans="1:2" x14ac:dyDescent="0.2">
      <c r="A2939" s="57">
        <v>40950</v>
      </c>
    </row>
    <row r="2940" spans="1:2" x14ac:dyDescent="0.2">
      <c r="A2940" s="57">
        <v>40949</v>
      </c>
      <c r="B2940">
        <v>1.3189</v>
      </c>
    </row>
    <row r="2941" spans="1:2" x14ac:dyDescent="0.2">
      <c r="A2941" s="57">
        <v>40948</v>
      </c>
      <c r="B2941">
        <v>1.3288</v>
      </c>
    </row>
    <row r="2942" spans="1:2" x14ac:dyDescent="0.2">
      <c r="A2942" s="57">
        <v>40947</v>
      </c>
      <c r="B2942">
        <v>1.3273999999999999</v>
      </c>
    </row>
    <row r="2943" spans="1:2" x14ac:dyDescent="0.2">
      <c r="A2943" s="57">
        <v>40946</v>
      </c>
      <c r="B2943">
        <v>1.3112999999999999</v>
      </c>
    </row>
    <row r="2944" spans="1:2" x14ac:dyDescent="0.2">
      <c r="A2944" s="57">
        <v>40945</v>
      </c>
      <c r="B2944">
        <v>1.3042</v>
      </c>
    </row>
    <row r="2945" spans="1:2" x14ac:dyDescent="0.2">
      <c r="A2945" s="57">
        <v>40944</v>
      </c>
    </row>
    <row r="2946" spans="1:2" x14ac:dyDescent="0.2">
      <c r="A2946" s="57">
        <v>40943</v>
      </c>
    </row>
    <row r="2947" spans="1:2" x14ac:dyDescent="0.2">
      <c r="A2947" s="57">
        <v>40942</v>
      </c>
      <c r="B2947">
        <v>1.3160000000000001</v>
      </c>
    </row>
    <row r="2948" spans="1:2" x14ac:dyDescent="0.2">
      <c r="A2948" s="57">
        <v>40941</v>
      </c>
      <c r="B2948">
        <v>1.3093999999999999</v>
      </c>
    </row>
    <row r="2949" spans="1:2" x14ac:dyDescent="0.2">
      <c r="A2949" s="57">
        <v>40940</v>
      </c>
      <c r="B2949">
        <v>1.3174999999999999</v>
      </c>
    </row>
    <row r="2950" spans="1:2" x14ac:dyDescent="0.2">
      <c r="A2950" s="57">
        <v>40939</v>
      </c>
      <c r="B2950">
        <v>1.3176000000000001</v>
      </c>
    </row>
    <row r="2951" spans="1:2" x14ac:dyDescent="0.2">
      <c r="A2951" s="57">
        <v>40938</v>
      </c>
      <c r="B2951">
        <v>1.3109999999999999</v>
      </c>
    </row>
    <row r="2952" spans="1:2" x14ac:dyDescent="0.2">
      <c r="A2952" s="57">
        <v>40937</v>
      </c>
    </row>
    <row r="2953" spans="1:2" x14ac:dyDescent="0.2">
      <c r="A2953" s="57">
        <v>40936</v>
      </c>
    </row>
    <row r="2954" spans="1:2" x14ac:dyDescent="0.2">
      <c r="A2954" s="57">
        <v>40935</v>
      </c>
      <c r="B2954">
        <v>1.3145</v>
      </c>
    </row>
    <row r="2955" spans="1:2" x14ac:dyDescent="0.2">
      <c r="A2955" s="57">
        <v>40934</v>
      </c>
      <c r="B2955">
        <v>1.3145</v>
      </c>
    </row>
    <row r="2956" spans="1:2" x14ac:dyDescent="0.2">
      <c r="A2956" s="57">
        <v>40933</v>
      </c>
      <c r="B2956">
        <v>1.2942</v>
      </c>
    </row>
    <row r="2957" spans="1:2" x14ac:dyDescent="0.2">
      <c r="A2957" s="57">
        <v>40932</v>
      </c>
      <c r="B2957">
        <v>1.3003</v>
      </c>
    </row>
    <row r="2958" spans="1:2" x14ac:dyDescent="0.2">
      <c r="A2958" s="57">
        <v>40931</v>
      </c>
      <c r="B2958">
        <v>1.3017000000000001</v>
      </c>
    </row>
    <row r="2959" spans="1:2" x14ac:dyDescent="0.2">
      <c r="A2959" s="57">
        <v>40930</v>
      </c>
    </row>
    <row r="2960" spans="1:2" x14ac:dyDescent="0.2">
      <c r="A2960" s="57">
        <v>40929</v>
      </c>
    </row>
    <row r="2961" spans="1:2" x14ac:dyDescent="0.2">
      <c r="A2961" s="57">
        <v>40928</v>
      </c>
      <c r="B2961">
        <v>1.2902</v>
      </c>
    </row>
    <row r="2962" spans="1:2" x14ac:dyDescent="0.2">
      <c r="A2962" s="57">
        <v>40927</v>
      </c>
      <c r="B2962">
        <v>1.2910999999999999</v>
      </c>
    </row>
    <row r="2963" spans="1:2" x14ac:dyDescent="0.2">
      <c r="A2963" s="57">
        <v>40926</v>
      </c>
      <c r="B2963">
        <v>1.2830999999999999</v>
      </c>
    </row>
    <row r="2964" spans="1:2" x14ac:dyDescent="0.2">
      <c r="A2964" s="57">
        <v>40925</v>
      </c>
      <c r="B2964">
        <v>1.2789999999999999</v>
      </c>
    </row>
    <row r="2965" spans="1:2" x14ac:dyDescent="0.2">
      <c r="A2965" s="57">
        <v>40924</v>
      </c>
      <c r="B2965">
        <v>1.2668999999999999</v>
      </c>
    </row>
    <row r="2966" spans="1:2" x14ac:dyDescent="0.2">
      <c r="A2966" s="57">
        <v>40923</v>
      </c>
    </row>
    <row r="2967" spans="1:2" x14ac:dyDescent="0.2">
      <c r="A2967" s="57">
        <v>40922</v>
      </c>
    </row>
    <row r="2968" spans="1:2" x14ac:dyDescent="0.2">
      <c r="A2968" s="57">
        <v>40921</v>
      </c>
      <c r="B2968">
        <v>1.2770999999999999</v>
      </c>
    </row>
    <row r="2969" spans="1:2" x14ac:dyDescent="0.2">
      <c r="A2969" s="57">
        <v>40920</v>
      </c>
      <c r="B2969">
        <v>1.2736000000000001</v>
      </c>
    </row>
    <row r="2970" spans="1:2" x14ac:dyDescent="0.2">
      <c r="A2970" s="57">
        <v>40919</v>
      </c>
      <c r="B2970">
        <v>1.2718</v>
      </c>
    </row>
    <row r="2971" spans="1:2" x14ac:dyDescent="0.2">
      <c r="A2971" s="57">
        <v>40918</v>
      </c>
      <c r="B2971">
        <v>1.2807999999999999</v>
      </c>
    </row>
    <row r="2972" spans="1:2" x14ac:dyDescent="0.2">
      <c r="A2972" s="57">
        <v>40917</v>
      </c>
      <c r="B2972">
        <v>1.2727999999999999</v>
      </c>
    </row>
    <row r="2973" spans="1:2" x14ac:dyDescent="0.2">
      <c r="A2973" s="57">
        <v>40916</v>
      </c>
    </row>
    <row r="2974" spans="1:2" x14ac:dyDescent="0.2">
      <c r="A2974" s="57">
        <v>40915</v>
      </c>
    </row>
    <row r="2975" spans="1:2" x14ac:dyDescent="0.2">
      <c r="A2975" s="57">
        <v>40914</v>
      </c>
      <c r="B2975">
        <v>1.2776000000000001</v>
      </c>
    </row>
    <row r="2976" spans="1:2" x14ac:dyDescent="0.2">
      <c r="A2976" s="57">
        <v>40913</v>
      </c>
      <c r="B2976">
        <v>1.2831999999999999</v>
      </c>
    </row>
    <row r="2977" spans="1:2" x14ac:dyDescent="0.2">
      <c r="A2977" s="57">
        <v>40912</v>
      </c>
      <c r="B2977">
        <v>1.2948</v>
      </c>
    </row>
    <row r="2978" spans="1:2" x14ac:dyDescent="0.2">
      <c r="A2978" s="57">
        <v>40911</v>
      </c>
      <c r="B2978">
        <v>1.3013999999999999</v>
      </c>
    </row>
    <row r="2979" spans="1:2" x14ac:dyDescent="0.2">
      <c r="A2979" s="57">
        <v>40910</v>
      </c>
      <c r="B2979">
        <v>1.2935000000000001</v>
      </c>
    </row>
    <row r="2980" spans="1:2" x14ac:dyDescent="0.2">
      <c r="A2980" s="57">
        <v>40909</v>
      </c>
    </row>
    <row r="2981" spans="1:2" x14ac:dyDescent="0.2">
      <c r="A2981" s="57">
        <v>40908</v>
      </c>
    </row>
    <row r="2982" spans="1:2" x14ac:dyDescent="0.2">
      <c r="A2982" s="57">
        <v>40907</v>
      </c>
      <c r="B2982">
        <v>1.2939000000000001</v>
      </c>
    </row>
    <row r="2983" spans="1:2" x14ac:dyDescent="0.2">
      <c r="A2983" s="57">
        <v>40906</v>
      </c>
      <c r="B2983">
        <v>1.2888999999999999</v>
      </c>
    </row>
    <row r="2984" spans="1:2" x14ac:dyDescent="0.2">
      <c r="A2984" s="57">
        <v>40905</v>
      </c>
      <c r="B2984">
        <v>1.3073999999999999</v>
      </c>
    </row>
    <row r="2985" spans="1:2" x14ac:dyDescent="0.2">
      <c r="A2985" s="57">
        <v>40904</v>
      </c>
      <c r="B2985">
        <v>1.3069</v>
      </c>
    </row>
    <row r="2986" spans="1:2" x14ac:dyDescent="0.2">
      <c r="A2986" s="57">
        <v>40903</v>
      </c>
    </row>
    <row r="2987" spans="1:2" x14ac:dyDescent="0.2">
      <c r="A2987" s="57">
        <v>40902</v>
      </c>
    </row>
    <row r="2988" spans="1:2" x14ac:dyDescent="0.2">
      <c r="A2988" s="57">
        <v>40901</v>
      </c>
    </row>
    <row r="2989" spans="1:2" x14ac:dyDescent="0.2">
      <c r="A2989" s="57">
        <v>40900</v>
      </c>
      <c r="B2989">
        <v>1.3057000000000001</v>
      </c>
    </row>
    <row r="2990" spans="1:2" x14ac:dyDescent="0.2">
      <c r="A2990" s="57">
        <v>40899</v>
      </c>
      <c r="B2990">
        <v>1.3047</v>
      </c>
    </row>
    <row r="2991" spans="1:2" x14ac:dyDescent="0.2">
      <c r="A2991" s="57">
        <v>40898</v>
      </c>
      <c r="B2991">
        <v>1.3053999999999999</v>
      </c>
    </row>
    <row r="2992" spans="1:2" x14ac:dyDescent="0.2">
      <c r="A2992" s="57">
        <v>40897</v>
      </c>
      <c r="B2992">
        <v>1.3073999999999999</v>
      </c>
    </row>
    <row r="2993" spans="1:2" x14ac:dyDescent="0.2">
      <c r="A2993" s="57">
        <v>40896</v>
      </c>
      <c r="B2993">
        <v>1.3039000000000001</v>
      </c>
    </row>
    <row r="2994" spans="1:2" x14ac:dyDescent="0.2">
      <c r="A2994" s="57">
        <v>40895</v>
      </c>
    </row>
    <row r="2995" spans="1:2" x14ac:dyDescent="0.2">
      <c r="A2995" s="57">
        <v>40894</v>
      </c>
    </row>
    <row r="2996" spans="1:2" x14ac:dyDescent="0.2">
      <c r="A2996" s="57">
        <v>40893</v>
      </c>
      <c r="B2996">
        <v>1.3064</v>
      </c>
    </row>
    <row r="2997" spans="1:2" x14ac:dyDescent="0.2">
      <c r="A2997" s="57">
        <v>40892</v>
      </c>
      <c r="B2997">
        <v>1.3019000000000001</v>
      </c>
    </row>
    <row r="2998" spans="1:2" x14ac:dyDescent="0.2">
      <c r="A2998" s="57">
        <v>40891</v>
      </c>
      <c r="B2998">
        <v>1.2992999999999999</v>
      </c>
    </row>
    <row r="2999" spans="1:2" x14ac:dyDescent="0.2">
      <c r="A2999" s="57">
        <v>40890</v>
      </c>
      <c r="B2999">
        <v>1.3181</v>
      </c>
    </row>
    <row r="3000" spans="1:2" x14ac:dyDescent="0.2">
      <c r="A3000" s="57">
        <v>40889</v>
      </c>
      <c r="B3000">
        <v>1.3250999999999999</v>
      </c>
    </row>
    <row r="3001" spans="1:2" x14ac:dyDescent="0.2">
      <c r="A3001" s="57">
        <v>40888</v>
      </c>
    </row>
    <row r="3002" spans="1:2" x14ac:dyDescent="0.2">
      <c r="A3002" s="57">
        <v>40887</v>
      </c>
    </row>
    <row r="3003" spans="1:2" x14ac:dyDescent="0.2">
      <c r="A3003" s="57">
        <v>40886</v>
      </c>
      <c r="B3003">
        <v>1.3384</v>
      </c>
    </row>
    <row r="3004" spans="1:2" x14ac:dyDescent="0.2">
      <c r="A3004" s="57">
        <v>40885</v>
      </c>
      <c r="B3004">
        <v>1.341</v>
      </c>
    </row>
    <row r="3005" spans="1:2" x14ac:dyDescent="0.2">
      <c r="A3005" s="57">
        <v>40884</v>
      </c>
      <c r="B3005">
        <v>1.3376999999999999</v>
      </c>
    </row>
    <row r="3006" spans="1:2" x14ac:dyDescent="0.2">
      <c r="A3006" s="57">
        <v>40883</v>
      </c>
      <c r="B3006">
        <v>1.3393999999999999</v>
      </c>
    </row>
    <row r="3007" spans="1:2" x14ac:dyDescent="0.2">
      <c r="A3007" s="57">
        <v>40882</v>
      </c>
      <c r="B3007">
        <v>1.3442000000000001</v>
      </c>
    </row>
    <row r="3008" spans="1:2" x14ac:dyDescent="0.2">
      <c r="A3008" s="57">
        <v>40881</v>
      </c>
    </row>
    <row r="3009" spans="1:2" x14ac:dyDescent="0.2">
      <c r="A3009" s="57">
        <v>40880</v>
      </c>
    </row>
    <row r="3010" spans="1:2" x14ac:dyDescent="0.2">
      <c r="A3010" s="57">
        <v>40879</v>
      </c>
      <c r="B3010">
        <v>1.3511</v>
      </c>
    </row>
    <row r="3011" spans="1:2" x14ac:dyDescent="0.2">
      <c r="A3011" s="57">
        <v>40878</v>
      </c>
      <c r="B3011">
        <v>1.3492</v>
      </c>
    </row>
    <row r="3012" spans="1:2" x14ac:dyDescent="0.2">
      <c r="A3012" s="57">
        <v>40877</v>
      </c>
      <c r="B3012">
        <v>1.3418000000000001</v>
      </c>
    </row>
    <row r="3013" spans="1:2" x14ac:dyDescent="0.2">
      <c r="A3013" s="57">
        <v>40876</v>
      </c>
      <c r="B3013">
        <v>1.3335999999999999</v>
      </c>
    </row>
    <row r="3014" spans="1:2" x14ac:dyDescent="0.2">
      <c r="A3014" s="57">
        <v>40875</v>
      </c>
      <c r="B3014">
        <v>1.3348</v>
      </c>
    </row>
    <row r="3015" spans="1:2" x14ac:dyDescent="0.2">
      <c r="A3015" s="57">
        <v>40874</v>
      </c>
    </row>
    <row r="3016" spans="1:2" x14ac:dyDescent="0.2">
      <c r="A3016" s="57">
        <v>40873</v>
      </c>
    </row>
    <row r="3017" spans="1:2" x14ac:dyDescent="0.2">
      <c r="A3017" s="57">
        <v>40872</v>
      </c>
      <c r="B3017">
        <v>1.3229</v>
      </c>
    </row>
    <row r="3018" spans="1:2" x14ac:dyDescent="0.2">
      <c r="A3018" s="57">
        <v>40871</v>
      </c>
      <c r="B3018">
        <v>1.3372999999999999</v>
      </c>
    </row>
    <row r="3019" spans="1:2" x14ac:dyDescent="0.2">
      <c r="A3019" s="57">
        <v>40870</v>
      </c>
      <c r="B3019">
        <v>1.3387</v>
      </c>
    </row>
    <row r="3020" spans="1:2" x14ac:dyDescent="0.2">
      <c r="A3020" s="57">
        <v>40869</v>
      </c>
      <c r="B3020">
        <v>1.3534999999999999</v>
      </c>
    </row>
    <row r="3021" spans="1:2" x14ac:dyDescent="0.2">
      <c r="A3021" s="57">
        <v>40868</v>
      </c>
      <c r="B3021">
        <v>1.3458000000000001</v>
      </c>
    </row>
    <row r="3022" spans="1:2" x14ac:dyDescent="0.2">
      <c r="A3022" s="57">
        <v>40867</v>
      </c>
    </row>
    <row r="3023" spans="1:2" x14ac:dyDescent="0.2">
      <c r="A3023" s="57">
        <v>40866</v>
      </c>
    </row>
    <row r="3024" spans="1:2" x14ac:dyDescent="0.2">
      <c r="A3024" s="57">
        <v>40865</v>
      </c>
      <c r="B3024">
        <v>1.3575999999999999</v>
      </c>
    </row>
    <row r="3025" spans="1:2" x14ac:dyDescent="0.2">
      <c r="A3025" s="57">
        <v>40864</v>
      </c>
      <c r="B3025">
        <v>1.3480000000000001</v>
      </c>
    </row>
    <row r="3026" spans="1:2" x14ac:dyDescent="0.2">
      <c r="A3026" s="57">
        <v>40863</v>
      </c>
      <c r="B3026">
        <v>1.3484</v>
      </c>
    </row>
    <row r="3027" spans="1:2" x14ac:dyDescent="0.2">
      <c r="A3027" s="57">
        <v>40862</v>
      </c>
      <c r="B3027">
        <v>1.3532</v>
      </c>
    </row>
    <row r="3028" spans="1:2" x14ac:dyDescent="0.2">
      <c r="A3028" s="57">
        <v>40861</v>
      </c>
      <c r="B3028">
        <v>1.3658999999999999</v>
      </c>
    </row>
    <row r="3029" spans="1:2" x14ac:dyDescent="0.2">
      <c r="A3029" s="57">
        <v>40860</v>
      </c>
    </row>
    <row r="3030" spans="1:2" x14ac:dyDescent="0.2">
      <c r="A3030" s="57">
        <v>40859</v>
      </c>
    </row>
    <row r="3031" spans="1:2" x14ac:dyDescent="0.2">
      <c r="A3031" s="57">
        <v>40858</v>
      </c>
      <c r="B3031">
        <v>1.365</v>
      </c>
    </row>
    <row r="3032" spans="1:2" x14ac:dyDescent="0.2">
      <c r="A3032" s="57">
        <v>40857</v>
      </c>
      <c r="B3032">
        <v>1.3615999999999999</v>
      </c>
    </row>
    <row r="3033" spans="1:2" x14ac:dyDescent="0.2">
      <c r="A3033" s="57">
        <v>40856</v>
      </c>
      <c r="B3033">
        <v>1.3633</v>
      </c>
    </row>
    <row r="3034" spans="1:2" x14ac:dyDescent="0.2">
      <c r="A3034" s="57">
        <v>40855</v>
      </c>
      <c r="B3034">
        <v>1.3788</v>
      </c>
    </row>
    <row r="3035" spans="1:2" x14ac:dyDescent="0.2">
      <c r="A3035" s="57">
        <v>40854</v>
      </c>
      <c r="B3035">
        <v>1.3742000000000001</v>
      </c>
    </row>
    <row r="3036" spans="1:2" x14ac:dyDescent="0.2">
      <c r="A3036" s="57">
        <v>40853</v>
      </c>
    </row>
    <row r="3037" spans="1:2" x14ac:dyDescent="0.2">
      <c r="A3037" s="57">
        <v>40852</v>
      </c>
    </row>
    <row r="3038" spans="1:2" x14ac:dyDescent="0.2">
      <c r="A3038" s="57">
        <v>40851</v>
      </c>
      <c r="B3038">
        <v>1.3773</v>
      </c>
    </row>
    <row r="3039" spans="1:2" x14ac:dyDescent="0.2">
      <c r="A3039" s="57">
        <v>40850</v>
      </c>
      <c r="B3039">
        <v>1.3773</v>
      </c>
    </row>
    <row r="3040" spans="1:2" x14ac:dyDescent="0.2">
      <c r="A3040" s="57">
        <v>40849</v>
      </c>
      <c r="B3040">
        <v>1.3809</v>
      </c>
    </row>
    <row r="3041" spans="1:2" x14ac:dyDescent="0.2">
      <c r="A3041" s="57">
        <v>40848</v>
      </c>
      <c r="B3041">
        <v>1.3627</v>
      </c>
    </row>
    <row r="3042" spans="1:2" x14ac:dyDescent="0.2">
      <c r="A3042" s="57">
        <v>40847</v>
      </c>
      <c r="B3042">
        <v>1.4000999999999999</v>
      </c>
    </row>
    <row r="3043" spans="1:2" x14ac:dyDescent="0.2">
      <c r="A3043" s="57">
        <v>40846</v>
      </c>
    </row>
    <row r="3044" spans="1:2" x14ac:dyDescent="0.2">
      <c r="A3044" s="57">
        <v>40845</v>
      </c>
    </row>
    <row r="3045" spans="1:2" x14ac:dyDescent="0.2">
      <c r="A3045" s="57">
        <v>40844</v>
      </c>
      <c r="B3045">
        <v>1.4159999999999999</v>
      </c>
    </row>
    <row r="3046" spans="1:2" x14ac:dyDescent="0.2">
      <c r="A3046" s="57">
        <v>40843</v>
      </c>
      <c r="B3046">
        <v>1.4037999999999999</v>
      </c>
    </row>
    <row r="3047" spans="1:2" x14ac:dyDescent="0.2">
      <c r="A3047" s="57">
        <v>40842</v>
      </c>
      <c r="B3047">
        <v>1.3927</v>
      </c>
    </row>
    <row r="3048" spans="1:2" x14ac:dyDescent="0.2">
      <c r="A3048" s="57">
        <v>40841</v>
      </c>
      <c r="B3048">
        <v>1.3917999999999999</v>
      </c>
    </row>
    <row r="3049" spans="1:2" x14ac:dyDescent="0.2">
      <c r="A3049" s="57">
        <v>40840</v>
      </c>
      <c r="B3049">
        <v>1.3855999999999999</v>
      </c>
    </row>
    <row r="3050" spans="1:2" x14ac:dyDescent="0.2">
      <c r="A3050" s="57">
        <v>40839</v>
      </c>
    </row>
    <row r="3051" spans="1:2" x14ac:dyDescent="0.2">
      <c r="A3051" s="57">
        <v>40838</v>
      </c>
    </row>
    <row r="3052" spans="1:2" x14ac:dyDescent="0.2">
      <c r="A3052" s="57">
        <v>40837</v>
      </c>
      <c r="B3052">
        <v>1.3797999999999999</v>
      </c>
    </row>
    <row r="3053" spans="1:2" x14ac:dyDescent="0.2">
      <c r="A3053" s="57">
        <v>40836</v>
      </c>
      <c r="B3053">
        <v>1.3807</v>
      </c>
    </row>
    <row r="3054" spans="1:2" x14ac:dyDescent="0.2">
      <c r="A3054" s="57">
        <v>40835</v>
      </c>
      <c r="B3054">
        <v>1.3828</v>
      </c>
    </row>
    <row r="3055" spans="1:2" x14ac:dyDescent="0.2">
      <c r="A3055" s="57">
        <v>40834</v>
      </c>
      <c r="B3055">
        <v>1.3675999999999999</v>
      </c>
    </row>
    <row r="3056" spans="1:2" x14ac:dyDescent="0.2">
      <c r="A3056" s="57">
        <v>40833</v>
      </c>
      <c r="B3056">
        <v>1.3775999999999999</v>
      </c>
    </row>
    <row r="3057" spans="1:2" x14ac:dyDescent="0.2">
      <c r="A3057" s="57">
        <v>40832</v>
      </c>
    </row>
    <row r="3058" spans="1:2" x14ac:dyDescent="0.2">
      <c r="A3058" s="57">
        <v>40831</v>
      </c>
    </row>
    <row r="3059" spans="1:2" x14ac:dyDescent="0.2">
      <c r="A3059" s="57">
        <v>40830</v>
      </c>
      <c r="B3059">
        <v>1.3807</v>
      </c>
    </row>
    <row r="3060" spans="1:2" x14ac:dyDescent="0.2">
      <c r="A3060" s="57">
        <v>40829</v>
      </c>
      <c r="B3060">
        <v>1.3727</v>
      </c>
    </row>
    <row r="3061" spans="1:2" x14ac:dyDescent="0.2">
      <c r="A3061" s="57">
        <v>40828</v>
      </c>
      <c r="B3061">
        <v>1.3766</v>
      </c>
    </row>
    <row r="3062" spans="1:2" x14ac:dyDescent="0.2">
      <c r="A3062" s="57">
        <v>40827</v>
      </c>
      <c r="B3062">
        <v>1.3607</v>
      </c>
    </row>
    <row r="3063" spans="1:2" x14ac:dyDescent="0.2">
      <c r="A3063" s="57">
        <v>40826</v>
      </c>
      <c r="B3063">
        <v>1.3593</v>
      </c>
    </row>
    <row r="3064" spans="1:2" x14ac:dyDescent="0.2">
      <c r="A3064" s="57">
        <v>40825</v>
      </c>
    </row>
    <row r="3065" spans="1:2" x14ac:dyDescent="0.2">
      <c r="A3065" s="57">
        <v>40824</v>
      </c>
    </row>
    <row r="3066" spans="1:2" x14ac:dyDescent="0.2">
      <c r="A3066" s="57">
        <v>40823</v>
      </c>
      <c r="B3066">
        <v>1.3433999999999999</v>
      </c>
    </row>
    <row r="3067" spans="1:2" x14ac:dyDescent="0.2">
      <c r="A3067" s="57">
        <v>40822</v>
      </c>
      <c r="B3067">
        <v>1.3269</v>
      </c>
    </row>
    <row r="3068" spans="1:2" x14ac:dyDescent="0.2">
      <c r="A3068" s="57">
        <v>40821</v>
      </c>
      <c r="B3068">
        <v>1.3337000000000001</v>
      </c>
    </row>
    <row r="3069" spans="1:2" x14ac:dyDescent="0.2">
      <c r="A3069" s="57">
        <v>40820</v>
      </c>
      <c r="B3069">
        <v>1.3181</v>
      </c>
    </row>
    <row r="3070" spans="1:2" x14ac:dyDescent="0.2">
      <c r="A3070" s="57">
        <v>40819</v>
      </c>
      <c r="B3070">
        <v>1.3327</v>
      </c>
    </row>
    <row r="3071" spans="1:2" x14ac:dyDescent="0.2">
      <c r="A3071" s="57">
        <v>40818</v>
      </c>
    </row>
    <row r="3072" spans="1:2" x14ac:dyDescent="0.2">
      <c r="A3072" s="57">
        <v>40817</v>
      </c>
    </row>
    <row r="3073" spans="1:2" x14ac:dyDescent="0.2">
      <c r="A3073" s="57">
        <v>40816</v>
      </c>
      <c r="B3073">
        <v>1.3503000000000001</v>
      </c>
    </row>
    <row r="3074" spans="1:2" x14ac:dyDescent="0.2">
      <c r="A3074" s="57">
        <v>40815</v>
      </c>
      <c r="B3074">
        <v>1.3614999999999999</v>
      </c>
    </row>
    <row r="3075" spans="1:2" x14ac:dyDescent="0.2">
      <c r="A3075" s="57">
        <v>40814</v>
      </c>
      <c r="B3075">
        <v>1.3631</v>
      </c>
    </row>
    <row r="3076" spans="1:2" x14ac:dyDescent="0.2">
      <c r="A3076" s="57">
        <v>40813</v>
      </c>
      <c r="B3076">
        <v>1.3579000000000001</v>
      </c>
    </row>
    <row r="3077" spans="1:2" x14ac:dyDescent="0.2">
      <c r="A3077" s="57">
        <v>40812</v>
      </c>
      <c r="B3077">
        <v>1.35</v>
      </c>
    </row>
    <row r="3078" spans="1:2" x14ac:dyDescent="0.2">
      <c r="A3078" s="57">
        <v>40811</v>
      </c>
    </row>
    <row r="3079" spans="1:2" x14ac:dyDescent="0.2">
      <c r="A3079" s="57">
        <v>40810</v>
      </c>
    </row>
    <row r="3080" spans="1:2" x14ac:dyDescent="0.2">
      <c r="A3080" s="57">
        <v>40809</v>
      </c>
      <c r="B3080">
        <v>1.343</v>
      </c>
    </row>
    <row r="3081" spans="1:2" x14ac:dyDescent="0.2">
      <c r="A3081" s="57">
        <v>40808</v>
      </c>
      <c r="B3081">
        <v>1.3448</v>
      </c>
    </row>
    <row r="3082" spans="1:2" x14ac:dyDescent="0.2">
      <c r="A3082" s="57">
        <v>40807</v>
      </c>
      <c r="B3082">
        <v>1.3635999999999999</v>
      </c>
    </row>
    <row r="3083" spans="1:2" x14ac:dyDescent="0.2">
      <c r="A3083" s="57">
        <v>40806</v>
      </c>
      <c r="B3083">
        <v>1.371</v>
      </c>
    </row>
    <row r="3084" spans="1:2" x14ac:dyDescent="0.2">
      <c r="A3084" s="57">
        <v>40805</v>
      </c>
      <c r="B3084">
        <v>1.3641000000000001</v>
      </c>
    </row>
    <row r="3085" spans="1:2" x14ac:dyDescent="0.2">
      <c r="A3085" s="57">
        <v>40804</v>
      </c>
    </row>
    <row r="3086" spans="1:2" x14ac:dyDescent="0.2">
      <c r="A3086" s="57">
        <v>40803</v>
      </c>
    </row>
    <row r="3087" spans="1:2" x14ac:dyDescent="0.2">
      <c r="A3087" s="57">
        <v>40802</v>
      </c>
      <c r="B3087">
        <v>1.3759999999999999</v>
      </c>
    </row>
    <row r="3088" spans="1:2" x14ac:dyDescent="0.2">
      <c r="A3088" s="57">
        <v>40801</v>
      </c>
      <c r="B3088">
        <v>1.3794999999999999</v>
      </c>
    </row>
    <row r="3089" spans="1:2" x14ac:dyDescent="0.2">
      <c r="A3089" s="57">
        <v>40800</v>
      </c>
      <c r="B3089">
        <v>1.3729</v>
      </c>
    </row>
    <row r="3090" spans="1:2" x14ac:dyDescent="0.2">
      <c r="A3090" s="57">
        <v>40799</v>
      </c>
      <c r="B3090">
        <v>1.3645</v>
      </c>
    </row>
    <row r="3091" spans="1:2" x14ac:dyDescent="0.2">
      <c r="A3091" s="57">
        <v>40798</v>
      </c>
      <c r="B3091">
        <v>1.3655999999999999</v>
      </c>
    </row>
    <row r="3092" spans="1:2" x14ac:dyDescent="0.2">
      <c r="A3092" s="57">
        <v>40797</v>
      </c>
    </row>
    <row r="3093" spans="1:2" x14ac:dyDescent="0.2">
      <c r="A3093" s="57">
        <v>40796</v>
      </c>
    </row>
    <row r="3094" spans="1:2" x14ac:dyDescent="0.2">
      <c r="A3094" s="57">
        <v>40795</v>
      </c>
      <c r="B3094">
        <v>1.3816999999999999</v>
      </c>
    </row>
    <row r="3095" spans="1:2" x14ac:dyDescent="0.2">
      <c r="A3095" s="57">
        <v>40794</v>
      </c>
      <c r="B3095">
        <v>1.4044000000000001</v>
      </c>
    </row>
    <row r="3096" spans="1:2" x14ac:dyDescent="0.2">
      <c r="A3096" s="57">
        <v>40793</v>
      </c>
      <c r="B3096">
        <v>1.4036</v>
      </c>
    </row>
    <row r="3097" spans="1:2" x14ac:dyDescent="0.2">
      <c r="A3097" s="57">
        <v>40792</v>
      </c>
      <c r="B3097">
        <v>1.4098999999999999</v>
      </c>
    </row>
    <row r="3098" spans="1:2" x14ac:dyDescent="0.2">
      <c r="A3098" s="57">
        <v>40791</v>
      </c>
      <c r="B3098">
        <v>1.4126000000000001</v>
      </c>
    </row>
    <row r="3099" spans="1:2" x14ac:dyDescent="0.2">
      <c r="A3099" s="57">
        <v>40790</v>
      </c>
    </row>
    <row r="3100" spans="1:2" x14ac:dyDescent="0.2">
      <c r="A3100" s="57">
        <v>40789</v>
      </c>
    </row>
    <row r="3101" spans="1:2" x14ac:dyDescent="0.2">
      <c r="A3101" s="57">
        <v>40788</v>
      </c>
      <c r="B3101">
        <v>1.4255</v>
      </c>
    </row>
    <row r="3102" spans="1:2" x14ac:dyDescent="0.2">
      <c r="A3102" s="57">
        <v>40787</v>
      </c>
      <c r="B3102">
        <v>1.4285000000000001</v>
      </c>
    </row>
    <row r="3103" spans="1:2" x14ac:dyDescent="0.2">
      <c r="A3103" s="57">
        <v>40786</v>
      </c>
      <c r="B3103">
        <v>1.4450000000000001</v>
      </c>
    </row>
    <row r="3104" spans="1:2" x14ac:dyDescent="0.2">
      <c r="A3104" s="57">
        <v>40785</v>
      </c>
      <c r="B3104">
        <v>1.4401999999999999</v>
      </c>
    </row>
    <row r="3105" spans="1:2" x14ac:dyDescent="0.2">
      <c r="A3105" s="57">
        <v>40784</v>
      </c>
      <c r="B3105">
        <v>1.4487000000000001</v>
      </c>
    </row>
    <row r="3106" spans="1:2" x14ac:dyDescent="0.2">
      <c r="A3106" s="57">
        <v>40783</v>
      </c>
    </row>
    <row r="3107" spans="1:2" x14ac:dyDescent="0.2">
      <c r="A3107" s="57">
        <v>40782</v>
      </c>
    </row>
    <row r="3108" spans="1:2" x14ac:dyDescent="0.2">
      <c r="A3108" s="57">
        <v>40781</v>
      </c>
      <c r="B3108">
        <v>1.4401999999999999</v>
      </c>
    </row>
    <row r="3109" spans="1:2" x14ac:dyDescent="0.2">
      <c r="A3109" s="57">
        <v>40780</v>
      </c>
      <c r="B3109">
        <v>1.4423999999999999</v>
      </c>
    </row>
    <row r="3110" spans="1:2" x14ac:dyDescent="0.2">
      <c r="A3110" s="57">
        <v>40779</v>
      </c>
      <c r="B3110">
        <v>1.4433</v>
      </c>
    </row>
    <row r="3111" spans="1:2" x14ac:dyDescent="0.2">
      <c r="A3111" s="57">
        <v>40778</v>
      </c>
      <c r="B3111">
        <v>1.4461999999999999</v>
      </c>
    </row>
    <row r="3112" spans="1:2" x14ac:dyDescent="0.2">
      <c r="A3112" s="57">
        <v>40777</v>
      </c>
      <c r="B3112">
        <v>1.4413</v>
      </c>
    </row>
    <row r="3113" spans="1:2" x14ac:dyDescent="0.2">
      <c r="A3113" s="57">
        <v>40776</v>
      </c>
    </row>
    <row r="3114" spans="1:2" x14ac:dyDescent="0.2">
      <c r="A3114" s="57">
        <v>40775</v>
      </c>
    </row>
    <row r="3115" spans="1:2" x14ac:dyDescent="0.2">
      <c r="A3115" s="57">
        <v>40774</v>
      </c>
      <c r="B3115">
        <v>1.4384999999999999</v>
      </c>
    </row>
    <row r="3116" spans="1:2" x14ac:dyDescent="0.2">
      <c r="A3116" s="57">
        <v>40773</v>
      </c>
      <c r="B3116">
        <v>1.4369000000000001</v>
      </c>
    </row>
    <row r="3117" spans="1:2" x14ac:dyDescent="0.2">
      <c r="A3117" s="57">
        <v>40772</v>
      </c>
      <c r="B3117">
        <v>1.4477</v>
      </c>
    </row>
    <row r="3118" spans="1:2" x14ac:dyDescent="0.2">
      <c r="A3118" s="57">
        <v>40771</v>
      </c>
      <c r="B3118">
        <v>1.4359999999999999</v>
      </c>
    </row>
    <row r="3119" spans="1:2" x14ac:dyDescent="0.2">
      <c r="A3119" s="57">
        <v>40770</v>
      </c>
      <c r="B3119">
        <v>1.4309000000000001</v>
      </c>
    </row>
    <row r="3120" spans="1:2" x14ac:dyDescent="0.2">
      <c r="A3120" s="57">
        <v>40769</v>
      </c>
    </row>
    <row r="3121" spans="1:2" x14ac:dyDescent="0.2">
      <c r="A3121" s="57">
        <v>40768</v>
      </c>
    </row>
    <row r="3122" spans="1:2" x14ac:dyDescent="0.2">
      <c r="A3122" s="57">
        <v>40767</v>
      </c>
      <c r="B3122">
        <v>1.425</v>
      </c>
    </row>
    <row r="3123" spans="1:2" x14ac:dyDescent="0.2">
      <c r="A3123" s="57">
        <v>40766</v>
      </c>
      <c r="B3123">
        <v>1.4142999999999999</v>
      </c>
    </row>
    <row r="3124" spans="1:2" x14ac:dyDescent="0.2">
      <c r="A3124" s="57">
        <v>40765</v>
      </c>
      <c r="B3124">
        <v>1.4367000000000001</v>
      </c>
    </row>
    <row r="3125" spans="1:2" x14ac:dyDescent="0.2">
      <c r="A3125" s="57">
        <v>40764</v>
      </c>
      <c r="B3125">
        <v>1.4267000000000001</v>
      </c>
    </row>
    <row r="3126" spans="1:2" x14ac:dyDescent="0.2">
      <c r="A3126" s="57">
        <v>40763</v>
      </c>
      <c r="B3126">
        <v>1.4225000000000001</v>
      </c>
    </row>
    <row r="3127" spans="1:2" x14ac:dyDescent="0.2">
      <c r="A3127" s="57">
        <v>40762</v>
      </c>
    </row>
    <row r="3128" spans="1:2" x14ac:dyDescent="0.2">
      <c r="A3128" s="57">
        <v>40761</v>
      </c>
    </row>
    <row r="3129" spans="1:2" x14ac:dyDescent="0.2">
      <c r="A3129" s="57">
        <v>40760</v>
      </c>
      <c r="B3129">
        <v>1.4155</v>
      </c>
    </row>
    <row r="3130" spans="1:2" x14ac:dyDescent="0.2">
      <c r="A3130" s="57">
        <v>40759</v>
      </c>
      <c r="B3130">
        <v>1.4229000000000001</v>
      </c>
    </row>
    <row r="3131" spans="1:2" x14ac:dyDescent="0.2">
      <c r="A3131" s="57">
        <v>40758</v>
      </c>
      <c r="B3131">
        <v>1.43</v>
      </c>
    </row>
    <row r="3132" spans="1:2" x14ac:dyDescent="0.2">
      <c r="A3132" s="57">
        <v>40757</v>
      </c>
      <c r="B3132">
        <v>1.417</v>
      </c>
    </row>
    <row r="3133" spans="1:2" x14ac:dyDescent="0.2">
      <c r="A3133" s="57">
        <v>40756</v>
      </c>
      <c r="B3133">
        <v>1.4415</v>
      </c>
    </row>
    <row r="3134" spans="1:2" x14ac:dyDescent="0.2">
      <c r="A3134" s="57">
        <v>40755</v>
      </c>
    </row>
    <row r="3135" spans="1:2" x14ac:dyDescent="0.2">
      <c r="A3135" s="57">
        <v>40754</v>
      </c>
    </row>
    <row r="3136" spans="1:2" x14ac:dyDescent="0.2">
      <c r="A3136" s="57">
        <v>40753</v>
      </c>
      <c r="B3136">
        <v>1.4259999999999999</v>
      </c>
    </row>
    <row r="3137" spans="1:2" x14ac:dyDescent="0.2">
      <c r="A3137" s="57">
        <v>40752</v>
      </c>
      <c r="B3137">
        <v>1.4259999999999999</v>
      </c>
    </row>
    <row r="3138" spans="1:2" x14ac:dyDescent="0.2">
      <c r="A3138" s="57">
        <v>40751</v>
      </c>
      <c r="B3138">
        <v>1.4446000000000001</v>
      </c>
    </row>
    <row r="3139" spans="1:2" x14ac:dyDescent="0.2">
      <c r="A3139" s="57">
        <v>40750</v>
      </c>
      <c r="B3139">
        <v>1.4471000000000001</v>
      </c>
    </row>
    <row r="3140" spans="1:2" x14ac:dyDescent="0.2">
      <c r="A3140" s="57">
        <v>40749</v>
      </c>
      <c r="B3140">
        <v>1.4379999999999999</v>
      </c>
    </row>
    <row r="3141" spans="1:2" x14ac:dyDescent="0.2">
      <c r="A3141" s="57">
        <v>40748</v>
      </c>
    </row>
    <row r="3142" spans="1:2" x14ac:dyDescent="0.2">
      <c r="A3142" s="57">
        <v>40747</v>
      </c>
    </row>
    <row r="3143" spans="1:2" x14ac:dyDescent="0.2">
      <c r="A3143" s="57">
        <v>40746</v>
      </c>
      <c r="B3143">
        <v>1.4391</v>
      </c>
    </row>
    <row r="3144" spans="1:2" x14ac:dyDescent="0.2">
      <c r="A3144" s="57">
        <v>40745</v>
      </c>
      <c r="B3144">
        <v>1.4221999999999999</v>
      </c>
    </row>
    <row r="3145" spans="1:2" x14ac:dyDescent="0.2">
      <c r="A3145" s="57">
        <v>40744</v>
      </c>
      <c r="B3145">
        <v>1.4207000000000001</v>
      </c>
    </row>
    <row r="3146" spans="1:2" x14ac:dyDescent="0.2">
      <c r="A3146" s="57">
        <v>40743</v>
      </c>
      <c r="B3146">
        <v>1.4159999999999999</v>
      </c>
    </row>
    <row r="3147" spans="1:2" x14ac:dyDescent="0.2">
      <c r="A3147" s="57">
        <v>40742</v>
      </c>
      <c r="B3147">
        <v>1.4045000000000001</v>
      </c>
    </row>
    <row r="3148" spans="1:2" x14ac:dyDescent="0.2">
      <c r="A3148" s="57">
        <v>40741</v>
      </c>
    </row>
    <row r="3149" spans="1:2" x14ac:dyDescent="0.2">
      <c r="A3149" s="57">
        <v>40740</v>
      </c>
    </row>
    <row r="3150" spans="1:2" x14ac:dyDescent="0.2">
      <c r="A3150" s="57">
        <v>40739</v>
      </c>
      <c r="B3150">
        <v>1.4146000000000001</v>
      </c>
    </row>
    <row r="3151" spans="1:2" x14ac:dyDescent="0.2">
      <c r="A3151" s="57">
        <v>40738</v>
      </c>
      <c r="B3151">
        <v>1.4201999999999999</v>
      </c>
    </row>
    <row r="3152" spans="1:2" x14ac:dyDescent="0.2">
      <c r="A3152" s="57">
        <v>40737</v>
      </c>
      <c r="B3152">
        <v>1.4073</v>
      </c>
    </row>
    <row r="3153" spans="1:2" x14ac:dyDescent="0.2">
      <c r="A3153" s="57">
        <v>40736</v>
      </c>
      <c r="B3153">
        <v>1.3975</v>
      </c>
    </row>
    <row r="3154" spans="1:2" x14ac:dyDescent="0.2">
      <c r="A3154" s="57">
        <v>40735</v>
      </c>
      <c r="B3154">
        <v>1.4056</v>
      </c>
    </row>
    <row r="3155" spans="1:2" x14ac:dyDescent="0.2">
      <c r="A3155" s="57">
        <v>40734</v>
      </c>
    </row>
    <row r="3156" spans="1:2" x14ac:dyDescent="0.2">
      <c r="A3156" s="57">
        <v>40733</v>
      </c>
    </row>
    <row r="3157" spans="1:2" x14ac:dyDescent="0.2">
      <c r="A3157" s="57">
        <v>40732</v>
      </c>
      <c r="B3157">
        <v>1.4241999999999999</v>
      </c>
    </row>
    <row r="3158" spans="1:2" x14ac:dyDescent="0.2">
      <c r="A3158" s="57">
        <v>40731</v>
      </c>
      <c r="B3158">
        <v>1.4247000000000001</v>
      </c>
    </row>
    <row r="3159" spans="1:2" x14ac:dyDescent="0.2">
      <c r="A3159" s="57">
        <v>40730</v>
      </c>
      <c r="B3159">
        <v>1.4318</v>
      </c>
    </row>
    <row r="3160" spans="1:2" x14ac:dyDescent="0.2">
      <c r="A3160" s="57">
        <v>40729</v>
      </c>
      <c r="B3160">
        <v>1.4460999999999999</v>
      </c>
    </row>
    <row r="3161" spans="1:2" x14ac:dyDescent="0.2">
      <c r="A3161" s="57">
        <v>40728</v>
      </c>
      <c r="B3161">
        <v>1.45</v>
      </c>
    </row>
    <row r="3162" spans="1:2" x14ac:dyDescent="0.2">
      <c r="A3162" s="57">
        <v>40727</v>
      </c>
    </row>
    <row r="3163" spans="1:2" x14ac:dyDescent="0.2">
      <c r="A3163" s="57">
        <v>40726</v>
      </c>
    </row>
    <row r="3164" spans="1:2" x14ac:dyDescent="0.2">
      <c r="A3164" s="57">
        <v>40725</v>
      </c>
      <c r="B3164">
        <v>1.4488000000000001</v>
      </c>
    </row>
    <row r="3165" spans="1:2" x14ac:dyDescent="0.2">
      <c r="A3165" s="57">
        <v>40724</v>
      </c>
      <c r="B3165">
        <v>1.4453</v>
      </c>
    </row>
    <row r="3166" spans="1:2" x14ac:dyDescent="0.2">
      <c r="A3166" s="57">
        <v>40723</v>
      </c>
      <c r="B3166">
        <v>1.4424999999999999</v>
      </c>
    </row>
    <row r="3167" spans="1:2" x14ac:dyDescent="0.2">
      <c r="A3167" s="57">
        <v>40722</v>
      </c>
      <c r="B3167">
        <v>1.4260999999999999</v>
      </c>
    </row>
    <row r="3168" spans="1:2" x14ac:dyDescent="0.2">
      <c r="A3168" s="57">
        <v>40721</v>
      </c>
      <c r="B3168">
        <v>1.4205000000000001</v>
      </c>
    </row>
    <row r="3169" spans="1:2" x14ac:dyDescent="0.2">
      <c r="A3169" s="57">
        <v>40720</v>
      </c>
    </row>
    <row r="3170" spans="1:2" x14ac:dyDescent="0.2">
      <c r="A3170" s="57">
        <v>40719</v>
      </c>
    </row>
    <row r="3171" spans="1:2" x14ac:dyDescent="0.2">
      <c r="A3171" s="57">
        <v>40718</v>
      </c>
      <c r="B3171">
        <v>1.4219999999999999</v>
      </c>
    </row>
    <row r="3172" spans="1:2" x14ac:dyDescent="0.2">
      <c r="A3172" s="57">
        <v>40717</v>
      </c>
      <c r="B3172">
        <v>1.4212</v>
      </c>
    </row>
    <row r="3173" spans="1:2" x14ac:dyDescent="0.2">
      <c r="A3173" s="57">
        <v>40716</v>
      </c>
      <c r="B3173">
        <v>1.4397</v>
      </c>
    </row>
    <row r="3174" spans="1:2" x14ac:dyDescent="0.2">
      <c r="A3174" s="57">
        <v>40715</v>
      </c>
      <c r="B3174">
        <v>1.4373</v>
      </c>
    </row>
    <row r="3175" spans="1:2" x14ac:dyDescent="0.2">
      <c r="A3175" s="57">
        <v>40714</v>
      </c>
      <c r="B3175">
        <v>1.4235</v>
      </c>
    </row>
    <row r="3176" spans="1:2" x14ac:dyDescent="0.2">
      <c r="A3176" s="57">
        <v>40713</v>
      </c>
    </row>
    <row r="3177" spans="1:2" x14ac:dyDescent="0.2">
      <c r="A3177" s="57">
        <v>40712</v>
      </c>
    </row>
    <row r="3178" spans="1:2" x14ac:dyDescent="0.2">
      <c r="A3178" s="57">
        <v>40711</v>
      </c>
      <c r="B3178">
        <v>1.427</v>
      </c>
    </row>
    <row r="3179" spans="1:2" x14ac:dyDescent="0.2">
      <c r="A3179" s="57">
        <v>40710</v>
      </c>
      <c r="B3179">
        <v>1.4088000000000001</v>
      </c>
    </row>
    <row r="3180" spans="1:2" x14ac:dyDescent="0.2">
      <c r="A3180" s="57">
        <v>40709</v>
      </c>
      <c r="B3180">
        <v>1.4292</v>
      </c>
    </row>
    <row r="3181" spans="1:2" x14ac:dyDescent="0.2">
      <c r="A3181" s="57">
        <v>40708</v>
      </c>
      <c r="B3181">
        <v>1.4448000000000001</v>
      </c>
    </row>
    <row r="3182" spans="1:2" x14ac:dyDescent="0.2">
      <c r="A3182" s="57">
        <v>40707</v>
      </c>
      <c r="B3182">
        <v>1.4354</v>
      </c>
    </row>
    <row r="3183" spans="1:2" x14ac:dyDescent="0.2">
      <c r="A3183" s="57">
        <v>40706</v>
      </c>
    </row>
    <row r="3184" spans="1:2" x14ac:dyDescent="0.2">
      <c r="A3184" s="57">
        <v>40705</v>
      </c>
    </row>
    <row r="3185" spans="1:2" x14ac:dyDescent="0.2">
      <c r="A3185" s="57">
        <v>40704</v>
      </c>
      <c r="B3185">
        <v>1.4486000000000001</v>
      </c>
    </row>
    <row r="3186" spans="1:2" x14ac:dyDescent="0.2">
      <c r="A3186" s="57">
        <v>40703</v>
      </c>
      <c r="B3186">
        <v>1.4614</v>
      </c>
    </row>
    <row r="3187" spans="1:2" x14ac:dyDescent="0.2">
      <c r="A3187" s="57">
        <v>40702</v>
      </c>
      <c r="B3187">
        <v>1.4608000000000001</v>
      </c>
    </row>
    <row r="3188" spans="1:2" x14ac:dyDescent="0.2">
      <c r="A3188" s="57">
        <v>40701</v>
      </c>
      <c r="B3188">
        <v>1.4652000000000001</v>
      </c>
    </row>
    <row r="3189" spans="1:2" x14ac:dyDescent="0.2">
      <c r="A3189" s="57">
        <v>40700</v>
      </c>
      <c r="B3189">
        <v>1.4596</v>
      </c>
    </row>
    <row r="3190" spans="1:2" x14ac:dyDescent="0.2">
      <c r="A3190" s="57">
        <v>40699</v>
      </c>
    </row>
    <row r="3191" spans="1:2" x14ac:dyDescent="0.2">
      <c r="A3191" s="57">
        <v>40698</v>
      </c>
    </row>
    <row r="3192" spans="1:2" x14ac:dyDescent="0.2">
      <c r="A3192" s="57">
        <v>40697</v>
      </c>
      <c r="B3192">
        <v>1.4488000000000001</v>
      </c>
    </row>
    <row r="3193" spans="1:2" x14ac:dyDescent="0.2">
      <c r="A3193" s="57">
        <v>40696</v>
      </c>
      <c r="B3193">
        <v>1.446</v>
      </c>
    </row>
    <row r="3194" spans="1:2" x14ac:dyDescent="0.2">
      <c r="A3194" s="57">
        <v>40695</v>
      </c>
      <c r="B3194">
        <v>1.4408000000000001</v>
      </c>
    </row>
    <row r="3195" spans="1:2" x14ac:dyDescent="0.2">
      <c r="A3195" s="57">
        <v>40694</v>
      </c>
      <c r="B3195">
        <v>1.4384999999999999</v>
      </c>
    </row>
    <row r="3196" spans="1:2" x14ac:dyDescent="0.2">
      <c r="A3196" s="57">
        <v>40693</v>
      </c>
      <c r="B3196">
        <v>1.4272</v>
      </c>
    </row>
    <row r="3197" spans="1:2" x14ac:dyDescent="0.2">
      <c r="A3197" s="57">
        <v>40692</v>
      </c>
    </row>
    <row r="3198" spans="1:2" x14ac:dyDescent="0.2">
      <c r="A3198" s="57">
        <v>40691</v>
      </c>
    </row>
    <row r="3199" spans="1:2" x14ac:dyDescent="0.2">
      <c r="A3199" s="57">
        <v>40690</v>
      </c>
      <c r="B3199">
        <v>1.4265000000000001</v>
      </c>
    </row>
    <row r="3200" spans="1:2" x14ac:dyDescent="0.2">
      <c r="A3200" s="57">
        <v>40689</v>
      </c>
      <c r="B3200">
        <v>1.4168000000000001</v>
      </c>
    </row>
    <row r="3201" spans="1:2" x14ac:dyDescent="0.2">
      <c r="A3201" s="57">
        <v>40688</v>
      </c>
      <c r="B3201">
        <v>1.4069</v>
      </c>
    </row>
    <row r="3202" spans="1:2" x14ac:dyDescent="0.2">
      <c r="A3202" s="57">
        <v>40687</v>
      </c>
      <c r="B3202">
        <v>1.4089</v>
      </c>
    </row>
    <row r="3203" spans="1:2" x14ac:dyDescent="0.2">
      <c r="A3203" s="57">
        <v>40686</v>
      </c>
      <c r="B3203">
        <v>1.4019999999999999</v>
      </c>
    </row>
    <row r="3204" spans="1:2" x14ac:dyDescent="0.2">
      <c r="A3204" s="57">
        <v>40685</v>
      </c>
    </row>
    <row r="3205" spans="1:2" x14ac:dyDescent="0.2">
      <c r="A3205" s="57">
        <v>40684</v>
      </c>
    </row>
    <row r="3206" spans="1:2" x14ac:dyDescent="0.2">
      <c r="A3206" s="57">
        <v>40683</v>
      </c>
      <c r="B3206">
        <v>1.4237</v>
      </c>
    </row>
    <row r="3207" spans="1:2" x14ac:dyDescent="0.2">
      <c r="A3207" s="57">
        <v>40682</v>
      </c>
      <c r="B3207">
        <v>1.4265000000000001</v>
      </c>
    </row>
    <row r="3208" spans="1:2" x14ac:dyDescent="0.2">
      <c r="A3208" s="57">
        <v>40681</v>
      </c>
      <c r="B3208">
        <v>1.4227000000000001</v>
      </c>
    </row>
    <row r="3209" spans="1:2" x14ac:dyDescent="0.2">
      <c r="A3209" s="57">
        <v>40680</v>
      </c>
      <c r="B3209">
        <v>1.4171</v>
      </c>
    </row>
    <row r="3210" spans="1:2" x14ac:dyDescent="0.2">
      <c r="A3210" s="57">
        <v>40679</v>
      </c>
      <c r="B3210">
        <v>1.4142999999999999</v>
      </c>
    </row>
    <row r="3211" spans="1:2" x14ac:dyDescent="0.2">
      <c r="A3211" s="57">
        <v>40678</v>
      </c>
    </row>
    <row r="3212" spans="1:2" x14ac:dyDescent="0.2">
      <c r="A3212" s="57">
        <v>40677</v>
      </c>
    </row>
    <row r="3213" spans="1:2" x14ac:dyDescent="0.2">
      <c r="A3213" s="57">
        <v>40676</v>
      </c>
      <c r="B3213">
        <v>1.4279999999999999</v>
      </c>
    </row>
    <row r="3214" spans="1:2" x14ac:dyDescent="0.2">
      <c r="A3214" s="57">
        <v>40675</v>
      </c>
      <c r="B3214">
        <v>1.4153</v>
      </c>
    </row>
    <row r="3215" spans="1:2" x14ac:dyDescent="0.2">
      <c r="A3215" s="57">
        <v>40674</v>
      </c>
      <c r="B3215">
        <v>1.4357</v>
      </c>
    </row>
    <row r="3216" spans="1:2" x14ac:dyDescent="0.2">
      <c r="A3216" s="57">
        <v>40673</v>
      </c>
      <c r="B3216">
        <v>1.4358</v>
      </c>
    </row>
    <row r="3217" spans="1:2" x14ac:dyDescent="0.2">
      <c r="A3217" s="57">
        <v>40672</v>
      </c>
      <c r="B3217">
        <v>1.4397</v>
      </c>
    </row>
    <row r="3218" spans="1:2" x14ac:dyDescent="0.2">
      <c r="A3218" s="57">
        <v>40671</v>
      </c>
    </row>
    <row r="3219" spans="1:2" x14ac:dyDescent="0.2">
      <c r="A3219" s="57">
        <v>40670</v>
      </c>
    </row>
    <row r="3220" spans="1:2" x14ac:dyDescent="0.2">
      <c r="A3220" s="57">
        <v>40669</v>
      </c>
      <c r="B3220">
        <v>1.4500999999999999</v>
      </c>
    </row>
    <row r="3221" spans="1:2" x14ac:dyDescent="0.2">
      <c r="A3221" s="57">
        <v>40668</v>
      </c>
      <c r="B3221">
        <v>1.4814000000000001</v>
      </c>
    </row>
    <row r="3222" spans="1:2" x14ac:dyDescent="0.2">
      <c r="A3222" s="57">
        <v>40667</v>
      </c>
      <c r="B3222">
        <v>1.4882</v>
      </c>
    </row>
    <row r="3223" spans="1:2" x14ac:dyDescent="0.2">
      <c r="A3223" s="57">
        <v>40666</v>
      </c>
      <c r="B3223">
        <v>1.478</v>
      </c>
    </row>
    <row r="3224" spans="1:2" x14ac:dyDescent="0.2">
      <c r="A3224" s="57">
        <v>40665</v>
      </c>
      <c r="B3224">
        <v>1.4837</v>
      </c>
    </row>
    <row r="3225" spans="1:2" x14ac:dyDescent="0.2">
      <c r="A3225" s="57">
        <v>40664</v>
      </c>
    </row>
    <row r="3226" spans="1:2" x14ac:dyDescent="0.2">
      <c r="A3226" s="57">
        <v>40663</v>
      </c>
    </row>
    <row r="3227" spans="1:2" x14ac:dyDescent="0.2">
      <c r="A3227" s="57">
        <v>40662</v>
      </c>
      <c r="B3227">
        <v>1.486</v>
      </c>
    </row>
    <row r="3228" spans="1:2" x14ac:dyDescent="0.2">
      <c r="A3228" s="57">
        <v>40661</v>
      </c>
      <c r="B3228">
        <v>1.4794</v>
      </c>
    </row>
    <row r="3229" spans="1:2" x14ac:dyDescent="0.2">
      <c r="A3229" s="57">
        <v>40660</v>
      </c>
      <c r="B3229">
        <v>1.4668000000000001</v>
      </c>
    </row>
    <row r="3230" spans="1:2" x14ac:dyDescent="0.2">
      <c r="A3230" s="57">
        <v>40659</v>
      </c>
      <c r="B3230">
        <v>1.4617</v>
      </c>
    </row>
    <row r="3231" spans="1:2" x14ac:dyDescent="0.2">
      <c r="A3231" s="57">
        <v>40658</v>
      </c>
    </row>
    <row r="3232" spans="1:2" x14ac:dyDescent="0.2">
      <c r="A3232" s="57">
        <v>40657</v>
      </c>
    </row>
    <row r="3233" spans="1:2" x14ac:dyDescent="0.2">
      <c r="A3233" s="57">
        <v>40656</v>
      </c>
    </row>
    <row r="3234" spans="1:2" x14ac:dyDescent="0.2">
      <c r="A3234" s="57">
        <v>40655</v>
      </c>
    </row>
    <row r="3235" spans="1:2" x14ac:dyDescent="0.2">
      <c r="A3235" s="57">
        <v>40654</v>
      </c>
      <c r="B3235">
        <v>1.4583999999999999</v>
      </c>
    </row>
    <row r="3236" spans="1:2" x14ac:dyDescent="0.2">
      <c r="A3236" s="57">
        <v>40653</v>
      </c>
      <c r="B3236">
        <v>1.4515</v>
      </c>
    </row>
    <row r="3237" spans="1:2" x14ac:dyDescent="0.2">
      <c r="A3237" s="57">
        <v>40652</v>
      </c>
      <c r="B3237">
        <v>1.4301999999999999</v>
      </c>
    </row>
    <row r="3238" spans="1:2" x14ac:dyDescent="0.2">
      <c r="A3238" s="57">
        <v>40651</v>
      </c>
      <c r="B3238">
        <v>1.4275</v>
      </c>
    </row>
    <row r="3239" spans="1:2" x14ac:dyDescent="0.2">
      <c r="A3239" s="57">
        <v>40650</v>
      </c>
    </row>
    <row r="3240" spans="1:2" x14ac:dyDescent="0.2">
      <c r="A3240" s="57">
        <v>40649</v>
      </c>
    </row>
    <row r="3241" spans="1:2" x14ac:dyDescent="0.2">
      <c r="A3241" s="57">
        <v>40648</v>
      </c>
      <c r="B3241">
        <v>1.4450000000000001</v>
      </c>
    </row>
    <row r="3242" spans="1:2" x14ac:dyDescent="0.2">
      <c r="A3242" s="57">
        <v>40647</v>
      </c>
      <c r="B3242">
        <v>1.4400999999999999</v>
      </c>
    </row>
    <row r="3243" spans="1:2" x14ac:dyDescent="0.2">
      <c r="A3243" s="57">
        <v>40646</v>
      </c>
      <c r="B3243">
        <v>1.4493</v>
      </c>
    </row>
    <row r="3244" spans="1:2" x14ac:dyDescent="0.2">
      <c r="A3244" s="57">
        <v>40645</v>
      </c>
      <c r="B3244">
        <v>1.4470000000000001</v>
      </c>
    </row>
    <row r="3245" spans="1:2" x14ac:dyDescent="0.2">
      <c r="A3245" s="57">
        <v>40644</v>
      </c>
      <c r="B3245">
        <v>1.4434</v>
      </c>
    </row>
    <row r="3246" spans="1:2" x14ac:dyDescent="0.2">
      <c r="A3246" s="57">
        <v>40643</v>
      </c>
    </row>
    <row r="3247" spans="1:2" x14ac:dyDescent="0.2">
      <c r="A3247" s="57">
        <v>40642</v>
      </c>
    </row>
    <row r="3248" spans="1:2" x14ac:dyDescent="0.2">
      <c r="A3248" s="57">
        <v>40641</v>
      </c>
      <c r="B3248">
        <v>1.4400999999999999</v>
      </c>
    </row>
    <row r="3249" spans="1:2" x14ac:dyDescent="0.2">
      <c r="A3249" s="57">
        <v>40640</v>
      </c>
      <c r="B3249">
        <v>1.4282999999999999</v>
      </c>
    </row>
    <row r="3250" spans="1:2" x14ac:dyDescent="0.2">
      <c r="A3250" s="57">
        <v>40639</v>
      </c>
      <c r="B3250">
        <v>1.43</v>
      </c>
    </row>
    <row r="3251" spans="1:2" x14ac:dyDescent="0.2">
      <c r="A3251" s="57">
        <v>40638</v>
      </c>
      <c r="B3251">
        <v>1.4166000000000001</v>
      </c>
    </row>
    <row r="3252" spans="1:2" x14ac:dyDescent="0.2">
      <c r="A3252" s="57">
        <v>40637</v>
      </c>
      <c r="B3252">
        <v>1.4239999999999999</v>
      </c>
    </row>
    <row r="3253" spans="1:2" x14ac:dyDescent="0.2">
      <c r="A3253" s="57">
        <v>40636</v>
      </c>
    </row>
    <row r="3254" spans="1:2" x14ac:dyDescent="0.2">
      <c r="A3254" s="57">
        <v>40635</v>
      </c>
    </row>
    <row r="3255" spans="1:2" x14ac:dyDescent="0.2">
      <c r="A3255" s="57">
        <v>40634</v>
      </c>
      <c r="B3255">
        <v>1.4140999999999999</v>
      </c>
    </row>
    <row r="3256" spans="1:2" x14ac:dyDescent="0.2">
      <c r="A3256" s="57">
        <v>40633</v>
      </c>
      <c r="B3256">
        <v>1.4207000000000001</v>
      </c>
    </row>
    <row r="3257" spans="1:2" x14ac:dyDescent="0.2">
      <c r="A3257" s="57">
        <v>40632</v>
      </c>
      <c r="B3257">
        <v>1.409</v>
      </c>
    </row>
    <row r="3258" spans="1:2" x14ac:dyDescent="0.2">
      <c r="A3258" s="57">
        <v>40631</v>
      </c>
      <c r="B3258">
        <v>1.4066000000000001</v>
      </c>
    </row>
    <row r="3259" spans="1:2" x14ac:dyDescent="0.2">
      <c r="A3259" s="57">
        <v>40630</v>
      </c>
      <c r="B3259">
        <v>1.4032</v>
      </c>
    </row>
    <row r="3260" spans="1:2" x14ac:dyDescent="0.2">
      <c r="A3260" s="57">
        <v>40629</v>
      </c>
    </row>
    <row r="3261" spans="1:2" x14ac:dyDescent="0.2">
      <c r="A3261" s="57">
        <v>40628</v>
      </c>
    </row>
    <row r="3262" spans="1:2" x14ac:dyDescent="0.2">
      <c r="A3262" s="57">
        <v>40627</v>
      </c>
      <c r="B3262">
        <v>1.4115</v>
      </c>
    </row>
    <row r="3263" spans="1:2" x14ac:dyDescent="0.2">
      <c r="A3263" s="57">
        <v>40626</v>
      </c>
      <c r="B3263">
        <v>1.4128000000000001</v>
      </c>
    </row>
    <row r="3264" spans="1:2" x14ac:dyDescent="0.2">
      <c r="A3264" s="57">
        <v>40625</v>
      </c>
      <c r="B3264">
        <v>1.4136</v>
      </c>
    </row>
    <row r="3265" spans="1:2" x14ac:dyDescent="0.2">
      <c r="A3265" s="57">
        <v>40624</v>
      </c>
      <c r="B3265">
        <v>1.4211</v>
      </c>
    </row>
    <row r="3266" spans="1:2" x14ac:dyDescent="0.2">
      <c r="A3266" s="57">
        <v>40623</v>
      </c>
      <c r="B3266">
        <v>1.4194</v>
      </c>
    </row>
    <row r="3267" spans="1:2" x14ac:dyDescent="0.2">
      <c r="A3267" s="57">
        <v>40622</v>
      </c>
    </row>
    <row r="3268" spans="1:2" x14ac:dyDescent="0.2">
      <c r="A3268" s="57">
        <v>40621</v>
      </c>
    </row>
    <row r="3269" spans="1:2" x14ac:dyDescent="0.2">
      <c r="A3269" s="57">
        <v>40620</v>
      </c>
      <c r="B3269">
        <v>1.413</v>
      </c>
    </row>
    <row r="3270" spans="1:2" x14ac:dyDescent="0.2">
      <c r="A3270" s="57">
        <v>40619</v>
      </c>
      <c r="B3270">
        <v>1.4004000000000001</v>
      </c>
    </row>
    <row r="3271" spans="1:2" x14ac:dyDescent="0.2">
      <c r="A3271" s="57">
        <v>40618</v>
      </c>
      <c r="B3271">
        <v>1.3951</v>
      </c>
    </row>
    <row r="3272" spans="1:2" x14ac:dyDescent="0.2">
      <c r="A3272" s="57">
        <v>40617</v>
      </c>
      <c r="B3272">
        <v>1.3884000000000001</v>
      </c>
    </row>
    <row r="3273" spans="1:2" x14ac:dyDescent="0.2">
      <c r="A3273" s="57">
        <v>40616</v>
      </c>
      <c r="B3273">
        <v>1.3948</v>
      </c>
    </row>
    <row r="3274" spans="1:2" x14ac:dyDescent="0.2">
      <c r="A3274" s="57">
        <v>40615</v>
      </c>
    </row>
    <row r="3275" spans="1:2" x14ac:dyDescent="0.2">
      <c r="A3275" s="57">
        <v>40614</v>
      </c>
    </row>
    <row r="3276" spans="1:2" x14ac:dyDescent="0.2">
      <c r="A3276" s="57">
        <v>40613</v>
      </c>
      <c r="B3276">
        <v>1.3773</v>
      </c>
    </row>
    <row r="3277" spans="1:2" x14ac:dyDescent="0.2">
      <c r="A3277" s="57">
        <v>40612</v>
      </c>
      <c r="B3277">
        <v>1.3816999999999999</v>
      </c>
    </row>
    <row r="3278" spans="1:2" x14ac:dyDescent="0.2">
      <c r="A3278" s="57">
        <v>40611</v>
      </c>
      <c r="B3278">
        <v>1.3928</v>
      </c>
    </row>
    <row r="3279" spans="1:2" x14ac:dyDescent="0.2">
      <c r="A3279" s="57">
        <v>40610</v>
      </c>
      <c r="B3279">
        <v>1.3897999999999999</v>
      </c>
    </row>
    <row r="3280" spans="1:2" x14ac:dyDescent="0.2">
      <c r="A3280" s="57">
        <v>40609</v>
      </c>
      <c r="B3280">
        <v>1.4028</v>
      </c>
    </row>
    <row r="3281" spans="1:2" x14ac:dyDescent="0.2">
      <c r="A3281" s="57">
        <v>40608</v>
      </c>
    </row>
    <row r="3282" spans="1:2" x14ac:dyDescent="0.2">
      <c r="A3282" s="57">
        <v>40607</v>
      </c>
    </row>
    <row r="3283" spans="1:2" x14ac:dyDescent="0.2">
      <c r="A3283" s="57">
        <v>40606</v>
      </c>
      <c r="B3283">
        <v>1.3956999999999999</v>
      </c>
    </row>
    <row r="3284" spans="1:2" x14ac:dyDescent="0.2">
      <c r="A3284" s="57">
        <v>40605</v>
      </c>
      <c r="B3284">
        <v>1.385</v>
      </c>
    </row>
    <row r="3285" spans="1:2" x14ac:dyDescent="0.2">
      <c r="A3285" s="57">
        <v>40604</v>
      </c>
      <c r="B3285">
        <v>1.3809</v>
      </c>
    </row>
    <row r="3286" spans="1:2" x14ac:dyDescent="0.2">
      <c r="A3286" s="57">
        <v>40603</v>
      </c>
      <c r="B3286">
        <v>1.3825000000000001</v>
      </c>
    </row>
    <row r="3287" spans="1:2" x14ac:dyDescent="0.2">
      <c r="A3287" s="57">
        <v>40602</v>
      </c>
      <c r="B3287">
        <v>1.3834</v>
      </c>
    </row>
    <row r="3288" spans="1:2" x14ac:dyDescent="0.2">
      <c r="A3288" s="57">
        <v>40601</v>
      </c>
    </row>
    <row r="3289" spans="1:2" x14ac:dyDescent="0.2">
      <c r="A3289" s="57">
        <v>40600</v>
      </c>
    </row>
    <row r="3290" spans="1:2" x14ac:dyDescent="0.2">
      <c r="A3290" s="57">
        <v>40599</v>
      </c>
      <c r="B3290">
        <v>1.3762000000000001</v>
      </c>
    </row>
    <row r="3291" spans="1:2" x14ac:dyDescent="0.2">
      <c r="A3291" s="57">
        <v>40598</v>
      </c>
      <c r="B3291">
        <v>1.3773</v>
      </c>
    </row>
    <row r="3292" spans="1:2" x14ac:dyDescent="0.2">
      <c r="A3292" s="57">
        <v>40597</v>
      </c>
      <c r="B3292">
        <v>1.3731</v>
      </c>
    </row>
    <row r="3293" spans="1:2" x14ac:dyDescent="0.2">
      <c r="A3293" s="57">
        <v>40596</v>
      </c>
      <c r="B3293">
        <v>1.3667</v>
      </c>
    </row>
    <row r="3294" spans="1:2" x14ac:dyDescent="0.2">
      <c r="A3294" s="57">
        <v>40595</v>
      </c>
      <c r="B3294">
        <v>1.3668</v>
      </c>
    </row>
    <row r="3295" spans="1:2" x14ac:dyDescent="0.2">
      <c r="A3295" s="57">
        <v>40594</v>
      </c>
    </row>
    <row r="3296" spans="1:2" x14ac:dyDescent="0.2">
      <c r="A3296" s="57">
        <v>40593</v>
      </c>
    </row>
    <row r="3297" spans="1:2" x14ac:dyDescent="0.2">
      <c r="A3297" s="57">
        <v>40592</v>
      </c>
      <c r="B3297">
        <v>1.3627</v>
      </c>
    </row>
    <row r="3298" spans="1:2" x14ac:dyDescent="0.2">
      <c r="A3298" s="57">
        <v>40591</v>
      </c>
      <c r="B3298">
        <v>1.3560000000000001</v>
      </c>
    </row>
    <row r="3299" spans="1:2" x14ac:dyDescent="0.2">
      <c r="A3299" s="57">
        <v>40590</v>
      </c>
      <c r="B3299">
        <v>1.351</v>
      </c>
    </row>
    <row r="3300" spans="1:2" x14ac:dyDescent="0.2">
      <c r="A3300" s="57">
        <v>40589</v>
      </c>
      <c r="B3300">
        <v>1.351</v>
      </c>
    </row>
    <row r="3301" spans="1:2" x14ac:dyDescent="0.2">
      <c r="A3301" s="57">
        <v>40588</v>
      </c>
      <c r="B3301">
        <v>1.3440000000000001</v>
      </c>
    </row>
    <row r="3302" spans="1:2" x14ac:dyDescent="0.2">
      <c r="A3302" s="57">
        <v>40587</v>
      </c>
    </row>
    <row r="3303" spans="1:2" x14ac:dyDescent="0.2">
      <c r="A3303" s="57">
        <v>40586</v>
      </c>
    </row>
    <row r="3304" spans="1:2" x14ac:dyDescent="0.2">
      <c r="A3304" s="57">
        <v>40585</v>
      </c>
      <c r="B3304">
        <v>1.3524</v>
      </c>
    </row>
    <row r="3305" spans="1:2" x14ac:dyDescent="0.2">
      <c r="A3305" s="57">
        <v>40584</v>
      </c>
      <c r="B3305">
        <v>1.3604000000000001</v>
      </c>
    </row>
    <row r="3306" spans="1:2" x14ac:dyDescent="0.2">
      <c r="A3306" s="57">
        <v>40583</v>
      </c>
      <c r="B3306">
        <v>1.3647</v>
      </c>
    </row>
    <row r="3307" spans="1:2" x14ac:dyDescent="0.2">
      <c r="A3307" s="57">
        <v>40582</v>
      </c>
      <c r="B3307">
        <v>1.3634999999999999</v>
      </c>
    </row>
    <row r="3308" spans="1:2" x14ac:dyDescent="0.2">
      <c r="A3308" s="57">
        <v>40581</v>
      </c>
      <c r="B3308">
        <v>1.3552999999999999</v>
      </c>
    </row>
    <row r="3309" spans="1:2" x14ac:dyDescent="0.2">
      <c r="A3309" s="57">
        <v>40580</v>
      </c>
    </row>
    <row r="3310" spans="1:2" x14ac:dyDescent="0.2">
      <c r="A3310" s="57">
        <v>40579</v>
      </c>
    </row>
    <row r="3311" spans="1:2" x14ac:dyDescent="0.2">
      <c r="A3311" s="57">
        <v>40578</v>
      </c>
      <c r="B3311">
        <v>1.3631</v>
      </c>
    </row>
    <row r="3312" spans="1:2" x14ac:dyDescent="0.2">
      <c r="A3312" s="57">
        <v>40577</v>
      </c>
      <c r="B3312">
        <v>1.3745000000000001</v>
      </c>
    </row>
    <row r="3313" spans="1:2" x14ac:dyDescent="0.2">
      <c r="A3313" s="57">
        <v>40576</v>
      </c>
      <c r="B3313">
        <v>1.3803000000000001</v>
      </c>
    </row>
    <row r="3314" spans="1:2" x14ac:dyDescent="0.2">
      <c r="A3314" s="57">
        <v>40575</v>
      </c>
      <c r="B3314">
        <v>1.3754999999999999</v>
      </c>
    </row>
    <row r="3315" spans="1:2" x14ac:dyDescent="0.2">
      <c r="A3315" s="57">
        <v>40574</v>
      </c>
      <c r="B3315">
        <v>1.3692</v>
      </c>
    </row>
    <row r="3316" spans="1:2" x14ac:dyDescent="0.2">
      <c r="A3316" s="57">
        <v>40573</v>
      </c>
    </row>
    <row r="3317" spans="1:2" x14ac:dyDescent="0.2">
      <c r="A3317" s="57">
        <v>40572</v>
      </c>
    </row>
    <row r="3318" spans="1:2" x14ac:dyDescent="0.2">
      <c r="A3318" s="57">
        <v>40571</v>
      </c>
      <c r="B3318">
        <v>1.371</v>
      </c>
    </row>
    <row r="3319" spans="1:2" x14ac:dyDescent="0.2">
      <c r="A3319" s="57">
        <v>40570</v>
      </c>
      <c r="B3319">
        <v>1.3715999999999999</v>
      </c>
    </row>
    <row r="3320" spans="1:2" x14ac:dyDescent="0.2">
      <c r="A3320" s="57">
        <v>40569</v>
      </c>
      <c r="B3320">
        <v>1.3681000000000001</v>
      </c>
    </row>
    <row r="3321" spans="1:2" x14ac:dyDescent="0.2">
      <c r="A3321" s="57">
        <v>40568</v>
      </c>
      <c r="B3321">
        <v>1.3595999999999999</v>
      </c>
    </row>
    <row r="3322" spans="1:2" x14ac:dyDescent="0.2">
      <c r="A3322" s="57">
        <v>40567</v>
      </c>
      <c r="B3322">
        <v>1.3571</v>
      </c>
    </row>
    <row r="3323" spans="1:2" x14ac:dyDescent="0.2">
      <c r="A3323" s="57">
        <v>40566</v>
      </c>
    </row>
    <row r="3324" spans="1:2" x14ac:dyDescent="0.2">
      <c r="A3324" s="57">
        <v>40565</v>
      </c>
    </row>
    <row r="3325" spans="1:2" x14ac:dyDescent="0.2">
      <c r="A3325" s="57">
        <v>40564</v>
      </c>
      <c r="B3325">
        <v>1.3521000000000001</v>
      </c>
    </row>
    <row r="3326" spans="1:2" x14ac:dyDescent="0.2">
      <c r="A3326" s="57">
        <v>40563</v>
      </c>
      <c r="B3326">
        <v>1.3472</v>
      </c>
    </row>
    <row r="3327" spans="1:2" x14ac:dyDescent="0.2">
      <c r="A3327" s="57">
        <v>40562</v>
      </c>
      <c r="B3327">
        <v>1.3506</v>
      </c>
    </row>
    <row r="3328" spans="1:2" x14ac:dyDescent="0.2">
      <c r="A3328" s="57">
        <v>40561</v>
      </c>
      <c r="B3328">
        <v>1.3371</v>
      </c>
    </row>
    <row r="3329" spans="1:2" x14ac:dyDescent="0.2">
      <c r="A3329" s="57">
        <v>40560</v>
      </c>
      <c r="B3329">
        <v>1.3310999999999999</v>
      </c>
    </row>
    <row r="3330" spans="1:2" x14ac:dyDescent="0.2">
      <c r="A3330" s="57">
        <v>40559</v>
      </c>
    </row>
    <row r="3331" spans="1:2" x14ac:dyDescent="0.2">
      <c r="A3331" s="57">
        <v>40558</v>
      </c>
    </row>
    <row r="3332" spans="1:2" x14ac:dyDescent="0.2">
      <c r="A3332" s="57">
        <v>40557</v>
      </c>
      <c r="B3332">
        <v>1.3349</v>
      </c>
    </row>
    <row r="3333" spans="1:2" x14ac:dyDescent="0.2">
      <c r="A3333" s="57">
        <v>40556</v>
      </c>
      <c r="B3333">
        <v>1.3199000000000001</v>
      </c>
    </row>
    <row r="3334" spans="1:2" x14ac:dyDescent="0.2">
      <c r="A3334" s="57">
        <v>40555</v>
      </c>
      <c r="B3334">
        <v>1.2972999999999999</v>
      </c>
    </row>
    <row r="3335" spans="1:2" x14ac:dyDescent="0.2">
      <c r="A3335" s="57">
        <v>40554</v>
      </c>
      <c r="B3335">
        <v>1.2948</v>
      </c>
    </row>
    <row r="3336" spans="1:2" x14ac:dyDescent="0.2">
      <c r="A3336" s="57">
        <v>40553</v>
      </c>
      <c r="B3336">
        <v>1.2903</v>
      </c>
    </row>
    <row r="3337" spans="1:2" x14ac:dyDescent="0.2">
      <c r="A3337" s="57">
        <v>40552</v>
      </c>
    </row>
    <row r="3338" spans="1:2" x14ac:dyDescent="0.2">
      <c r="A3338" s="57">
        <v>40551</v>
      </c>
    </row>
    <row r="3339" spans="1:2" x14ac:dyDescent="0.2">
      <c r="A3339" s="57">
        <v>40550</v>
      </c>
      <c r="B3339">
        <v>1.2961</v>
      </c>
    </row>
    <row r="3340" spans="1:2" x14ac:dyDescent="0.2">
      <c r="A3340" s="57">
        <v>40549</v>
      </c>
      <c r="B3340">
        <v>1.3090999999999999</v>
      </c>
    </row>
    <row r="3341" spans="1:2" x14ac:dyDescent="0.2">
      <c r="A3341" s="57">
        <v>40548</v>
      </c>
      <c r="B3341">
        <v>1.3212999999999999</v>
      </c>
    </row>
    <row r="3342" spans="1:2" x14ac:dyDescent="0.2">
      <c r="A3342" s="57">
        <v>40547</v>
      </c>
      <c r="B3342">
        <v>1.3421000000000001</v>
      </c>
    </row>
    <row r="3343" spans="1:2" x14ac:dyDescent="0.2">
      <c r="A3343" s="57">
        <v>40546</v>
      </c>
      <c r="B3343">
        <v>1.3348</v>
      </c>
    </row>
    <row r="3344" spans="1:2" x14ac:dyDescent="0.2">
      <c r="A3344" s="57">
        <v>40545</v>
      </c>
    </row>
    <row r="3345" spans="1:2" x14ac:dyDescent="0.2">
      <c r="A3345" s="57">
        <v>40544</v>
      </c>
    </row>
    <row r="3346" spans="1:2" x14ac:dyDescent="0.2">
      <c r="A3346" s="57">
        <v>40543</v>
      </c>
      <c r="B3346">
        <v>1.3362000000000001</v>
      </c>
    </row>
    <row r="3347" spans="1:2" x14ac:dyDescent="0.2">
      <c r="A3347" s="57">
        <v>40542</v>
      </c>
      <c r="B3347">
        <v>1.3280000000000001</v>
      </c>
    </row>
    <row r="3348" spans="1:2" x14ac:dyDescent="0.2">
      <c r="A3348" s="57">
        <v>40541</v>
      </c>
      <c r="B3348">
        <v>1.3136000000000001</v>
      </c>
    </row>
    <row r="3349" spans="1:2" x14ac:dyDescent="0.2">
      <c r="A3349" s="57">
        <v>40540</v>
      </c>
      <c r="B3349">
        <v>1.3194999999999999</v>
      </c>
    </row>
    <row r="3350" spans="1:2" x14ac:dyDescent="0.2">
      <c r="A3350" s="57">
        <v>40539</v>
      </c>
      <c r="B3350">
        <v>1.3136000000000001</v>
      </c>
    </row>
    <row r="3351" spans="1:2" x14ac:dyDescent="0.2">
      <c r="A3351" s="57">
        <v>40538</v>
      </c>
    </row>
    <row r="3352" spans="1:2" x14ac:dyDescent="0.2">
      <c r="A3352" s="57">
        <v>40537</v>
      </c>
    </row>
    <row r="3353" spans="1:2" x14ac:dyDescent="0.2">
      <c r="A3353" s="57">
        <v>40536</v>
      </c>
      <c r="B3353">
        <v>1.3099000000000001</v>
      </c>
    </row>
    <row r="3354" spans="1:2" x14ac:dyDescent="0.2">
      <c r="A3354" s="57">
        <v>40535</v>
      </c>
      <c r="B3354">
        <v>1.3064</v>
      </c>
    </row>
    <row r="3355" spans="1:2" x14ac:dyDescent="0.2">
      <c r="A3355" s="57">
        <v>40534</v>
      </c>
      <c r="B3355">
        <v>1.3111999999999999</v>
      </c>
    </row>
    <row r="3356" spans="1:2" x14ac:dyDescent="0.2">
      <c r="A3356" s="57">
        <v>40533</v>
      </c>
      <c r="B3356">
        <v>1.3154999999999999</v>
      </c>
    </row>
    <row r="3357" spans="1:2" x14ac:dyDescent="0.2">
      <c r="A3357" s="57">
        <v>40532</v>
      </c>
      <c r="B3357">
        <v>1.3147</v>
      </c>
    </row>
    <row r="3358" spans="1:2" x14ac:dyDescent="0.2">
      <c r="A3358" s="57">
        <v>40531</v>
      </c>
    </row>
    <row r="3359" spans="1:2" x14ac:dyDescent="0.2">
      <c r="A3359" s="57">
        <v>40530</v>
      </c>
    </row>
    <row r="3360" spans="1:2" x14ac:dyDescent="0.2">
      <c r="A3360" s="57">
        <v>40529</v>
      </c>
      <c r="B3360">
        <v>1.3260000000000001</v>
      </c>
    </row>
    <row r="3361" spans="1:2" x14ac:dyDescent="0.2">
      <c r="A3361" s="57">
        <v>40528</v>
      </c>
      <c r="B3361">
        <v>1.3238000000000001</v>
      </c>
    </row>
    <row r="3362" spans="1:2" x14ac:dyDescent="0.2">
      <c r="A3362" s="57">
        <v>40527</v>
      </c>
      <c r="B3362">
        <v>1.3360000000000001</v>
      </c>
    </row>
    <row r="3363" spans="1:2" x14ac:dyDescent="0.2">
      <c r="A3363" s="57">
        <v>40526</v>
      </c>
      <c r="B3363">
        <v>1.3434999999999999</v>
      </c>
    </row>
    <row r="3364" spans="1:2" x14ac:dyDescent="0.2">
      <c r="A3364" s="57">
        <v>40525</v>
      </c>
      <c r="B3364">
        <v>1.3267</v>
      </c>
    </row>
    <row r="3365" spans="1:2" x14ac:dyDescent="0.2">
      <c r="A3365" s="57">
        <v>40524</v>
      </c>
    </row>
    <row r="3366" spans="1:2" x14ac:dyDescent="0.2">
      <c r="A3366" s="57">
        <v>40523</v>
      </c>
    </row>
    <row r="3367" spans="1:2" x14ac:dyDescent="0.2">
      <c r="A3367" s="57">
        <v>40522</v>
      </c>
      <c r="B3367">
        <v>1.3244</v>
      </c>
    </row>
    <row r="3368" spans="1:2" x14ac:dyDescent="0.2">
      <c r="A3368" s="57">
        <v>40521</v>
      </c>
      <c r="B3368">
        <v>1.3213999999999999</v>
      </c>
    </row>
    <row r="3369" spans="1:2" x14ac:dyDescent="0.2">
      <c r="A3369" s="57">
        <v>40520</v>
      </c>
      <c r="B3369">
        <v>1.32</v>
      </c>
    </row>
    <row r="3370" spans="1:2" x14ac:dyDescent="0.2">
      <c r="A3370" s="57">
        <v>40519</v>
      </c>
      <c r="B3370">
        <v>1.3363</v>
      </c>
    </row>
    <row r="3371" spans="1:2" x14ac:dyDescent="0.2">
      <c r="A3371" s="57">
        <v>40518</v>
      </c>
      <c r="B3371">
        <v>1.3280000000000001</v>
      </c>
    </row>
    <row r="3372" spans="1:2" x14ac:dyDescent="0.2">
      <c r="A3372" s="57">
        <v>40517</v>
      </c>
    </row>
    <row r="3373" spans="1:2" x14ac:dyDescent="0.2">
      <c r="A3373" s="57">
        <v>40516</v>
      </c>
    </row>
    <row r="3374" spans="1:2" x14ac:dyDescent="0.2">
      <c r="A3374" s="57">
        <v>40515</v>
      </c>
      <c r="B3374">
        <v>1.3246</v>
      </c>
    </row>
    <row r="3375" spans="1:2" x14ac:dyDescent="0.2">
      <c r="A3375" s="57">
        <v>40514</v>
      </c>
      <c r="B3375">
        <v>1.3154999999999999</v>
      </c>
    </row>
    <row r="3376" spans="1:2" x14ac:dyDescent="0.2">
      <c r="A3376" s="57">
        <v>40513</v>
      </c>
      <c r="B3376">
        <v>1.3115000000000001</v>
      </c>
    </row>
    <row r="3377" spans="1:2" x14ac:dyDescent="0.2">
      <c r="A3377" s="57">
        <v>40512</v>
      </c>
      <c r="B3377">
        <v>1.2998000000000001</v>
      </c>
    </row>
    <row r="3378" spans="1:2" x14ac:dyDescent="0.2">
      <c r="A3378" s="57">
        <v>40511</v>
      </c>
      <c r="B3378">
        <v>1.3146</v>
      </c>
    </row>
    <row r="3379" spans="1:2" x14ac:dyDescent="0.2">
      <c r="A3379" s="57">
        <v>40510</v>
      </c>
    </row>
    <row r="3380" spans="1:2" x14ac:dyDescent="0.2">
      <c r="A3380" s="57">
        <v>40509</v>
      </c>
    </row>
    <row r="3381" spans="1:2" x14ac:dyDescent="0.2">
      <c r="A3381" s="57">
        <v>40508</v>
      </c>
      <c r="B3381">
        <v>1.3225</v>
      </c>
    </row>
    <row r="3382" spans="1:2" x14ac:dyDescent="0.2">
      <c r="A3382" s="57">
        <v>40507</v>
      </c>
      <c r="B3382">
        <v>1.3321000000000001</v>
      </c>
    </row>
    <row r="3383" spans="1:2" x14ac:dyDescent="0.2">
      <c r="A3383" s="57">
        <v>40506</v>
      </c>
      <c r="B3383">
        <v>1.3339000000000001</v>
      </c>
    </row>
    <row r="3384" spans="1:2" x14ac:dyDescent="0.2">
      <c r="A3384" s="57">
        <v>40505</v>
      </c>
      <c r="B3384">
        <v>1.3495999999999999</v>
      </c>
    </row>
    <row r="3385" spans="1:2" x14ac:dyDescent="0.2">
      <c r="A3385" s="57">
        <v>40504</v>
      </c>
      <c r="B3385">
        <v>1.3647</v>
      </c>
    </row>
    <row r="3386" spans="1:2" x14ac:dyDescent="0.2">
      <c r="A3386" s="57">
        <v>40503</v>
      </c>
    </row>
    <row r="3387" spans="1:2" x14ac:dyDescent="0.2">
      <c r="A3387" s="57">
        <v>40502</v>
      </c>
    </row>
    <row r="3388" spans="1:2" x14ac:dyDescent="0.2">
      <c r="A3388" s="57">
        <v>40501</v>
      </c>
      <c r="B3388">
        <v>1.3673999999999999</v>
      </c>
    </row>
    <row r="3389" spans="1:2" x14ac:dyDescent="0.2">
      <c r="A3389" s="57">
        <v>40500</v>
      </c>
      <c r="B3389">
        <v>1.3647</v>
      </c>
    </row>
    <row r="3390" spans="1:2" x14ac:dyDescent="0.2">
      <c r="A3390" s="57">
        <v>40499</v>
      </c>
      <c r="B3390">
        <v>1.3481000000000001</v>
      </c>
    </row>
    <row r="3391" spans="1:2" x14ac:dyDescent="0.2">
      <c r="A3391" s="57">
        <v>40498</v>
      </c>
      <c r="B3391">
        <v>1.3612</v>
      </c>
    </row>
    <row r="3392" spans="1:2" x14ac:dyDescent="0.2">
      <c r="A3392" s="57">
        <v>40497</v>
      </c>
      <c r="B3392">
        <v>1.3626</v>
      </c>
    </row>
    <row r="3393" spans="1:2" x14ac:dyDescent="0.2">
      <c r="A3393" s="57">
        <v>40496</v>
      </c>
    </row>
    <row r="3394" spans="1:2" x14ac:dyDescent="0.2">
      <c r="A3394" s="57">
        <v>40495</v>
      </c>
    </row>
    <row r="3395" spans="1:2" x14ac:dyDescent="0.2">
      <c r="A3395" s="57">
        <v>40494</v>
      </c>
      <c r="B3395">
        <v>1.3711</v>
      </c>
    </row>
    <row r="3396" spans="1:2" x14ac:dyDescent="0.2">
      <c r="A3396" s="57">
        <v>40493</v>
      </c>
      <c r="B3396">
        <v>1.37</v>
      </c>
    </row>
    <row r="3397" spans="1:2" x14ac:dyDescent="0.2">
      <c r="A3397" s="57">
        <v>40492</v>
      </c>
      <c r="B3397">
        <v>1.377</v>
      </c>
    </row>
    <row r="3398" spans="1:2" x14ac:dyDescent="0.2">
      <c r="A3398" s="57">
        <v>40491</v>
      </c>
      <c r="B3398">
        <v>1.3945000000000001</v>
      </c>
    </row>
    <row r="3399" spans="1:2" x14ac:dyDescent="0.2">
      <c r="A3399" s="57">
        <v>40490</v>
      </c>
      <c r="B3399">
        <v>1.3916999999999999</v>
      </c>
    </row>
    <row r="3400" spans="1:2" x14ac:dyDescent="0.2">
      <c r="A3400" s="57">
        <v>40489</v>
      </c>
    </row>
    <row r="3401" spans="1:2" x14ac:dyDescent="0.2">
      <c r="A3401" s="57">
        <v>40488</v>
      </c>
    </row>
    <row r="3402" spans="1:2" x14ac:dyDescent="0.2">
      <c r="A3402" s="57">
        <v>40487</v>
      </c>
      <c r="B3402">
        <v>1.4084000000000001</v>
      </c>
    </row>
    <row r="3403" spans="1:2" x14ac:dyDescent="0.2">
      <c r="A3403" s="57">
        <v>40486</v>
      </c>
      <c r="B3403">
        <v>1.4244000000000001</v>
      </c>
    </row>
    <row r="3404" spans="1:2" x14ac:dyDescent="0.2">
      <c r="A3404" s="57">
        <v>40485</v>
      </c>
      <c r="B3404">
        <v>1.4014</v>
      </c>
    </row>
    <row r="3405" spans="1:2" x14ac:dyDescent="0.2">
      <c r="A3405" s="57">
        <v>40484</v>
      </c>
      <c r="B3405">
        <v>1.4017999999999999</v>
      </c>
    </row>
    <row r="3406" spans="1:2" x14ac:dyDescent="0.2">
      <c r="A3406" s="57">
        <v>40483</v>
      </c>
      <c r="B3406">
        <v>1.3926000000000001</v>
      </c>
    </row>
    <row r="3407" spans="1:2" x14ac:dyDescent="0.2">
      <c r="A3407" s="57">
        <v>40482</v>
      </c>
    </row>
    <row r="3408" spans="1:2" x14ac:dyDescent="0.2">
      <c r="A3408" s="57">
        <v>40481</v>
      </c>
    </row>
    <row r="3409" spans="1:2" x14ac:dyDescent="0.2">
      <c r="A3409" s="57">
        <v>40480</v>
      </c>
      <c r="B3409">
        <v>1.3856999999999999</v>
      </c>
    </row>
    <row r="3410" spans="1:2" x14ac:dyDescent="0.2">
      <c r="A3410" s="57">
        <v>40479</v>
      </c>
      <c r="B3410">
        <v>1.3856999999999999</v>
      </c>
    </row>
    <row r="3411" spans="1:2" x14ac:dyDescent="0.2">
      <c r="A3411" s="57">
        <v>40478</v>
      </c>
      <c r="B3411">
        <v>1.3803000000000001</v>
      </c>
    </row>
    <row r="3412" spans="1:2" x14ac:dyDescent="0.2">
      <c r="A3412" s="57">
        <v>40477</v>
      </c>
      <c r="B3412">
        <v>1.3912</v>
      </c>
    </row>
    <row r="3413" spans="1:2" x14ac:dyDescent="0.2">
      <c r="A3413" s="57">
        <v>40476</v>
      </c>
      <c r="B3413">
        <v>1.4031</v>
      </c>
    </row>
    <row r="3414" spans="1:2" x14ac:dyDescent="0.2">
      <c r="A3414" s="57">
        <v>40475</v>
      </c>
    </row>
    <row r="3415" spans="1:2" x14ac:dyDescent="0.2">
      <c r="A3415" s="57">
        <v>40474</v>
      </c>
    </row>
    <row r="3416" spans="1:2" x14ac:dyDescent="0.2">
      <c r="A3416" s="57">
        <v>40473</v>
      </c>
      <c r="B3416">
        <v>1.3934</v>
      </c>
    </row>
    <row r="3417" spans="1:2" x14ac:dyDescent="0.2">
      <c r="A3417" s="57">
        <v>40472</v>
      </c>
      <c r="B3417">
        <v>1.4016</v>
      </c>
    </row>
    <row r="3418" spans="1:2" x14ac:dyDescent="0.2">
      <c r="A3418" s="57">
        <v>40471</v>
      </c>
      <c r="B3418">
        <v>1.3861000000000001</v>
      </c>
    </row>
    <row r="3419" spans="1:2" x14ac:dyDescent="0.2">
      <c r="A3419" s="57">
        <v>40470</v>
      </c>
      <c r="B3419">
        <v>1.3858999999999999</v>
      </c>
    </row>
    <row r="3420" spans="1:2" x14ac:dyDescent="0.2">
      <c r="A3420" s="57">
        <v>40469</v>
      </c>
      <c r="B3420">
        <v>1.3895999999999999</v>
      </c>
    </row>
    <row r="3421" spans="1:2" x14ac:dyDescent="0.2">
      <c r="A3421" s="57">
        <v>40468</v>
      </c>
    </row>
    <row r="3422" spans="1:2" x14ac:dyDescent="0.2">
      <c r="A3422" s="57">
        <v>40467</v>
      </c>
    </row>
    <row r="3423" spans="1:2" x14ac:dyDescent="0.2">
      <c r="A3423" s="57">
        <v>40466</v>
      </c>
      <c r="B3423">
        <v>1.4089</v>
      </c>
    </row>
    <row r="3424" spans="1:2" x14ac:dyDescent="0.2">
      <c r="A3424" s="57">
        <v>40465</v>
      </c>
      <c r="B3424">
        <v>1.4100999999999999</v>
      </c>
    </row>
    <row r="3425" spans="1:2" x14ac:dyDescent="0.2">
      <c r="A3425" s="57">
        <v>40464</v>
      </c>
      <c r="B3425">
        <v>1.3957999999999999</v>
      </c>
    </row>
    <row r="3426" spans="1:2" x14ac:dyDescent="0.2">
      <c r="A3426" s="57">
        <v>40463</v>
      </c>
      <c r="B3426">
        <v>1.3833</v>
      </c>
    </row>
    <row r="3427" spans="1:2" x14ac:dyDescent="0.2">
      <c r="A3427" s="57">
        <v>40462</v>
      </c>
      <c r="B3427">
        <v>1.3935999999999999</v>
      </c>
    </row>
    <row r="3428" spans="1:2" x14ac:dyDescent="0.2">
      <c r="A3428" s="57">
        <v>40461</v>
      </c>
    </row>
    <row r="3429" spans="1:2" x14ac:dyDescent="0.2">
      <c r="A3429" s="57">
        <v>40460</v>
      </c>
    </row>
    <row r="3430" spans="1:2" x14ac:dyDescent="0.2">
      <c r="A3430" s="57">
        <v>40459</v>
      </c>
      <c r="B3430">
        <v>1.3874</v>
      </c>
    </row>
    <row r="3431" spans="1:2" x14ac:dyDescent="0.2">
      <c r="A3431" s="57">
        <v>40458</v>
      </c>
      <c r="B3431">
        <v>1.397</v>
      </c>
    </row>
    <row r="3432" spans="1:2" x14ac:dyDescent="0.2">
      <c r="A3432" s="57">
        <v>40457</v>
      </c>
      <c r="B3432">
        <v>1.3855999999999999</v>
      </c>
    </row>
    <row r="3433" spans="1:2" x14ac:dyDescent="0.2">
      <c r="A3433" s="57">
        <v>40456</v>
      </c>
      <c r="B3433">
        <v>1.3779999999999999</v>
      </c>
    </row>
    <row r="3434" spans="1:2" x14ac:dyDescent="0.2">
      <c r="A3434" s="57">
        <v>40455</v>
      </c>
      <c r="B3434">
        <v>1.3705000000000001</v>
      </c>
    </row>
    <row r="3435" spans="1:2" x14ac:dyDescent="0.2">
      <c r="A3435" s="57">
        <v>40454</v>
      </c>
    </row>
    <row r="3436" spans="1:2" x14ac:dyDescent="0.2">
      <c r="A3436" s="57">
        <v>40453</v>
      </c>
    </row>
    <row r="3437" spans="1:2" x14ac:dyDescent="0.2">
      <c r="A3437" s="57">
        <v>40452</v>
      </c>
      <c r="B3437">
        <v>1.3726</v>
      </c>
    </row>
    <row r="3438" spans="1:2" x14ac:dyDescent="0.2">
      <c r="A3438" s="57">
        <v>40451</v>
      </c>
      <c r="B3438">
        <v>1.3648</v>
      </c>
    </row>
    <row r="3439" spans="1:2" x14ac:dyDescent="0.2">
      <c r="A3439" s="57">
        <v>40450</v>
      </c>
      <c r="B3439">
        <v>1.3611</v>
      </c>
    </row>
    <row r="3440" spans="1:2" x14ac:dyDescent="0.2">
      <c r="A3440" s="57">
        <v>40449</v>
      </c>
      <c r="B3440">
        <v>1.3460000000000001</v>
      </c>
    </row>
    <row r="3441" spans="1:2" x14ac:dyDescent="0.2">
      <c r="A3441" s="57">
        <v>40448</v>
      </c>
      <c r="B3441">
        <v>1.3476999999999999</v>
      </c>
    </row>
    <row r="3442" spans="1:2" x14ac:dyDescent="0.2">
      <c r="A3442" s="57">
        <v>40447</v>
      </c>
    </row>
    <row r="3443" spans="1:2" x14ac:dyDescent="0.2">
      <c r="A3443" s="57">
        <v>40446</v>
      </c>
    </row>
    <row r="3444" spans="1:2" x14ac:dyDescent="0.2">
      <c r="A3444" s="57">
        <v>40445</v>
      </c>
      <c r="B3444">
        <v>1.3411999999999999</v>
      </c>
    </row>
    <row r="3445" spans="1:2" x14ac:dyDescent="0.2">
      <c r="A3445" s="57">
        <v>40444</v>
      </c>
      <c r="B3445">
        <v>1.3323</v>
      </c>
    </row>
    <row r="3446" spans="1:2" x14ac:dyDescent="0.2">
      <c r="A3446" s="57">
        <v>40443</v>
      </c>
      <c r="B3446">
        <v>1.3364</v>
      </c>
    </row>
    <row r="3447" spans="1:2" x14ac:dyDescent="0.2">
      <c r="A3447" s="57">
        <v>40442</v>
      </c>
      <c r="B3447">
        <v>1.3120000000000001</v>
      </c>
    </row>
    <row r="3448" spans="1:2" x14ac:dyDescent="0.2">
      <c r="A3448" s="57">
        <v>40441</v>
      </c>
      <c r="B3448">
        <v>1.3073999999999999</v>
      </c>
    </row>
    <row r="3449" spans="1:2" x14ac:dyDescent="0.2">
      <c r="A3449" s="57">
        <v>40440</v>
      </c>
    </row>
    <row r="3450" spans="1:2" x14ac:dyDescent="0.2">
      <c r="A3450" s="57">
        <v>40439</v>
      </c>
    </row>
    <row r="3451" spans="1:2" x14ac:dyDescent="0.2">
      <c r="A3451" s="57">
        <v>40438</v>
      </c>
      <c r="B3451">
        <v>1.306</v>
      </c>
    </row>
    <row r="3452" spans="1:2" x14ac:dyDescent="0.2">
      <c r="A3452" s="57">
        <v>40437</v>
      </c>
      <c r="B3452">
        <v>1.3078000000000001</v>
      </c>
    </row>
    <row r="3453" spans="1:2" x14ac:dyDescent="0.2">
      <c r="A3453" s="57">
        <v>40436</v>
      </c>
      <c r="B3453">
        <v>1.2988999999999999</v>
      </c>
    </row>
    <row r="3454" spans="1:2" x14ac:dyDescent="0.2">
      <c r="A3454" s="57">
        <v>40435</v>
      </c>
      <c r="B3454">
        <v>1.2849999999999999</v>
      </c>
    </row>
    <row r="3455" spans="1:2" x14ac:dyDescent="0.2">
      <c r="A3455" s="57">
        <v>40434</v>
      </c>
      <c r="B3455">
        <v>1.2801</v>
      </c>
    </row>
    <row r="3456" spans="1:2" x14ac:dyDescent="0.2">
      <c r="A3456" s="57">
        <v>40433</v>
      </c>
    </row>
    <row r="3457" spans="1:2" x14ac:dyDescent="0.2">
      <c r="A3457" s="57">
        <v>40432</v>
      </c>
    </row>
    <row r="3458" spans="1:2" x14ac:dyDescent="0.2">
      <c r="A3458" s="57">
        <v>40431</v>
      </c>
      <c r="B3458">
        <v>1.2725</v>
      </c>
    </row>
    <row r="3459" spans="1:2" x14ac:dyDescent="0.2">
      <c r="A3459" s="57">
        <v>40430</v>
      </c>
      <c r="B3459">
        <v>1.2715000000000001</v>
      </c>
    </row>
    <row r="3460" spans="1:2" x14ac:dyDescent="0.2">
      <c r="A3460" s="57">
        <v>40429</v>
      </c>
      <c r="B3460">
        <v>1.2697000000000001</v>
      </c>
    </row>
    <row r="3461" spans="1:2" x14ac:dyDescent="0.2">
      <c r="A3461" s="57">
        <v>40428</v>
      </c>
      <c r="B3461">
        <v>1.2744</v>
      </c>
    </row>
    <row r="3462" spans="1:2" x14ac:dyDescent="0.2">
      <c r="A3462" s="57">
        <v>40427</v>
      </c>
      <c r="B3462">
        <v>1.2874000000000001</v>
      </c>
    </row>
    <row r="3463" spans="1:2" x14ac:dyDescent="0.2">
      <c r="A3463" s="57">
        <v>40426</v>
      </c>
    </row>
    <row r="3464" spans="1:2" x14ac:dyDescent="0.2">
      <c r="A3464" s="57">
        <v>40425</v>
      </c>
    </row>
    <row r="3465" spans="1:2" x14ac:dyDescent="0.2">
      <c r="A3465" s="57">
        <v>40424</v>
      </c>
      <c r="B3465">
        <v>1.2834000000000001</v>
      </c>
    </row>
    <row r="3466" spans="1:2" x14ac:dyDescent="0.2">
      <c r="A3466" s="57">
        <v>40423</v>
      </c>
      <c r="B3466">
        <v>1.2818000000000001</v>
      </c>
    </row>
    <row r="3467" spans="1:2" x14ac:dyDescent="0.2">
      <c r="A3467" s="57">
        <v>40422</v>
      </c>
      <c r="B3467">
        <v>1.28</v>
      </c>
    </row>
    <row r="3468" spans="1:2" x14ac:dyDescent="0.2">
      <c r="A3468" s="57">
        <v>40421</v>
      </c>
      <c r="B3468">
        <v>1.268</v>
      </c>
    </row>
    <row r="3469" spans="1:2" x14ac:dyDescent="0.2">
      <c r="A3469" s="57">
        <v>40420</v>
      </c>
      <c r="B3469">
        <v>1.27</v>
      </c>
    </row>
    <row r="3470" spans="1:2" x14ac:dyDescent="0.2">
      <c r="A3470" s="57">
        <v>40419</v>
      </c>
    </row>
    <row r="3471" spans="1:2" x14ac:dyDescent="0.2">
      <c r="A3471" s="57">
        <v>40418</v>
      </c>
    </row>
    <row r="3472" spans="1:2" x14ac:dyDescent="0.2">
      <c r="A3472" s="57">
        <v>40417</v>
      </c>
      <c r="B3472">
        <v>1.2713000000000001</v>
      </c>
    </row>
    <row r="3473" spans="1:2" x14ac:dyDescent="0.2">
      <c r="A3473" s="57">
        <v>40416</v>
      </c>
      <c r="B3473">
        <v>1.2693000000000001</v>
      </c>
    </row>
    <row r="3474" spans="1:2" x14ac:dyDescent="0.2">
      <c r="A3474" s="57">
        <v>40415</v>
      </c>
      <c r="B3474">
        <v>1.2613000000000001</v>
      </c>
    </row>
    <row r="3475" spans="1:2" x14ac:dyDescent="0.2">
      <c r="A3475" s="57">
        <v>40414</v>
      </c>
      <c r="B3475">
        <v>1.2611000000000001</v>
      </c>
    </row>
    <row r="3476" spans="1:2" x14ac:dyDescent="0.2">
      <c r="A3476" s="57">
        <v>40413</v>
      </c>
      <c r="B3476">
        <v>1.2704</v>
      </c>
    </row>
    <row r="3477" spans="1:2" x14ac:dyDescent="0.2">
      <c r="A3477" s="57">
        <v>40412</v>
      </c>
    </row>
    <row r="3478" spans="1:2" x14ac:dyDescent="0.2">
      <c r="A3478" s="57">
        <v>40411</v>
      </c>
    </row>
    <row r="3479" spans="1:2" x14ac:dyDescent="0.2">
      <c r="A3479" s="57">
        <v>40410</v>
      </c>
      <c r="B3479">
        <v>1.2710999999999999</v>
      </c>
    </row>
    <row r="3480" spans="1:2" x14ac:dyDescent="0.2">
      <c r="A3480" s="57">
        <v>40409</v>
      </c>
      <c r="B3480">
        <v>1.2836000000000001</v>
      </c>
    </row>
    <row r="3481" spans="1:2" x14ac:dyDescent="0.2">
      <c r="A3481" s="57">
        <v>40408</v>
      </c>
      <c r="B3481">
        <v>1.288</v>
      </c>
    </row>
    <row r="3482" spans="1:2" x14ac:dyDescent="0.2">
      <c r="A3482" s="57">
        <v>40407</v>
      </c>
      <c r="B3482">
        <v>1.286</v>
      </c>
    </row>
    <row r="3483" spans="1:2" x14ac:dyDescent="0.2">
      <c r="A3483" s="57">
        <v>40406</v>
      </c>
      <c r="B3483">
        <v>1.282</v>
      </c>
    </row>
    <row r="3484" spans="1:2" x14ac:dyDescent="0.2">
      <c r="A3484" s="57">
        <v>40405</v>
      </c>
    </row>
    <row r="3485" spans="1:2" x14ac:dyDescent="0.2">
      <c r="A3485" s="57">
        <v>40404</v>
      </c>
    </row>
    <row r="3486" spans="1:2" x14ac:dyDescent="0.2">
      <c r="A3486" s="57">
        <v>40403</v>
      </c>
      <c r="B3486">
        <v>1.2799</v>
      </c>
    </row>
    <row r="3487" spans="1:2" x14ac:dyDescent="0.2">
      <c r="A3487" s="57">
        <v>40402</v>
      </c>
      <c r="B3487">
        <v>1.2789999999999999</v>
      </c>
    </row>
    <row r="3488" spans="1:2" x14ac:dyDescent="0.2">
      <c r="A3488" s="57">
        <v>40401</v>
      </c>
      <c r="B3488">
        <v>1.3016000000000001</v>
      </c>
    </row>
    <row r="3489" spans="1:2" x14ac:dyDescent="0.2">
      <c r="A3489" s="57">
        <v>40400</v>
      </c>
      <c r="B3489">
        <v>1.3132999999999999</v>
      </c>
    </row>
    <row r="3490" spans="1:2" x14ac:dyDescent="0.2">
      <c r="A3490" s="57">
        <v>40399</v>
      </c>
      <c r="B3490">
        <v>1.3252999999999999</v>
      </c>
    </row>
    <row r="3491" spans="1:2" x14ac:dyDescent="0.2">
      <c r="A3491" s="57">
        <v>40398</v>
      </c>
    </row>
    <row r="3492" spans="1:2" x14ac:dyDescent="0.2">
      <c r="A3492" s="57">
        <v>40397</v>
      </c>
    </row>
    <row r="3493" spans="1:2" x14ac:dyDescent="0.2">
      <c r="A3493" s="57">
        <v>40396</v>
      </c>
      <c r="B3493">
        <v>1.3176000000000001</v>
      </c>
    </row>
    <row r="3494" spans="1:2" x14ac:dyDescent="0.2">
      <c r="A3494" s="57">
        <v>40395</v>
      </c>
      <c r="B3494">
        <v>1.3184</v>
      </c>
    </row>
    <row r="3495" spans="1:2" x14ac:dyDescent="0.2">
      <c r="A3495" s="57">
        <v>40394</v>
      </c>
      <c r="B3495">
        <v>1.3206</v>
      </c>
    </row>
    <row r="3496" spans="1:2" x14ac:dyDescent="0.2">
      <c r="A3496" s="57">
        <v>40393</v>
      </c>
      <c r="B3496">
        <v>1.3221000000000001</v>
      </c>
    </row>
    <row r="3497" spans="1:2" x14ac:dyDescent="0.2">
      <c r="A3497" s="57">
        <v>40392</v>
      </c>
      <c r="B3497">
        <v>1.3072999999999999</v>
      </c>
    </row>
    <row r="3498" spans="1:2" x14ac:dyDescent="0.2">
      <c r="A3498" s="57">
        <v>40391</v>
      </c>
    </row>
    <row r="3499" spans="1:2" x14ac:dyDescent="0.2">
      <c r="A3499" s="57">
        <v>40390</v>
      </c>
    </row>
    <row r="3500" spans="1:2" x14ac:dyDescent="0.2">
      <c r="A3500" s="57">
        <v>40389</v>
      </c>
      <c r="B3500">
        <v>1.3028</v>
      </c>
    </row>
    <row r="3501" spans="1:2" x14ac:dyDescent="0.2">
      <c r="A3501" s="57">
        <v>40388</v>
      </c>
      <c r="B3501">
        <v>1.3069</v>
      </c>
    </row>
    <row r="3502" spans="1:2" x14ac:dyDescent="0.2">
      <c r="A3502" s="57">
        <v>40387</v>
      </c>
      <c r="B3502">
        <v>1.2991999999999999</v>
      </c>
    </row>
    <row r="3503" spans="1:2" x14ac:dyDescent="0.2">
      <c r="A3503" s="57">
        <v>40386</v>
      </c>
      <c r="B3503">
        <v>1.3032999999999999</v>
      </c>
    </row>
    <row r="3504" spans="1:2" x14ac:dyDescent="0.2">
      <c r="A3504" s="57">
        <v>40385</v>
      </c>
      <c r="B3504">
        <v>1.2930999999999999</v>
      </c>
    </row>
    <row r="3505" spans="1:2" x14ac:dyDescent="0.2">
      <c r="A3505" s="57">
        <v>40384</v>
      </c>
    </row>
    <row r="3506" spans="1:2" x14ac:dyDescent="0.2">
      <c r="A3506" s="57">
        <v>40383</v>
      </c>
    </row>
    <row r="3507" spans="1:2" x14ac:dyDescent="0.2">
      <c r="A3507" s="57">
        <v>40382</v>
      </c>
      <c r="B3507">
        <v>1.2897000000000001</v>
      </c>
    </row>
    <row r="3508" spans="1:2" x14ac:dyDescent="0.2">
      <c r="A3508" s="57">
        <v>40381</v>
      </c>
      <c r="B3508">
        <v>1.2849999999999999</v>
      </c>
    </row>
    <row r="3509" spans="1:2" x14ac:dyDescent="0.2">
      <c r="A3509" s="57">
        <v>40380</v>
      </c>
      <c r="B3509">
        <v>1.2817000000000001</v>
      </c>
    </row>
    <row r="3510" spans="1:2" x14ac:dyDescent="0.2">
      <c r="A3510" s="57">
        <v>40379</v>
      </c>
      <c r="B3510">
        <v>1.2844</v>
      </c>
    </row>
    <row r="3511" spans="1:2" x14ac:dyDescent="0.2">
      <c r="A3511" s="57">
        <v>40378</v>
      </c>
      <c r="B3511">
        <v>1.2957000000000001</v>
      </c>
    </row>
    <row r="3512" spans="1:2" x14ac:dyDescent="0.2">
      <c r="A3512" s="57">
        <v>40377</v>
      </c>
    </row>
    <row r="3513" spans="1:2" x14ac:dyDescent="0.2">
      <c r="A3513" s="57">
        <v>40376</v>
      </c>
    </row>
    <row r="3514" spans="1:2" x14ac:dyDescent="0.2">
      <c r="A3514" s="57">
        <v>40375</v>
      </c>
      <c r="B3514">
        <v>1.3</v>
      </c>
    </row>
    <row r="3515" spans="1:2" x14ac:dyDescent="0.2">
      <c r="A3515" s="57">
        <v>40374</v>
      </c>
      <c r="B3515">
        <v>1.2827999999999999</v>
      </c>
    </row>
    <row r="3516" spans="1:2" x14ac:dyDescent="0.2">
      <c r="A3516" s="57">
        <v>40373</v>
      </c>
      <c r="B3516">
        <v>1.2703</v>
      </c>
    </row>
    <row r="3517" spans="1:2" x14ac:dyDescent="0.2">
      <c r="A3517" s="57">
        <v>40372</v>
      </c>
      <c r="B3517">
        <v>1.2568999999999999</v>
      </c>
    </row>
    <row r="3518" spans="1:2" x14ac:dyDescent="0.2">
      <c r="A3518" s="57">
        <v>40371</v>
      </c>
      <c r="B3518">
        <v>1.2572000000000001</v>
      </c>
    </row>
    <row r="3519" spans="1:2" x14ac:dyDescent="0.2">
      <c r="A3519" s="57">
        <v>40370</v>
      </c>
    </row>
    <row r="3520" spans="1:2" x14ac:dyDescent="0.2">
      <c r="A3520" s="57">
        <v>40369</v>
      </c>
    </row>
    <row r="3521" spans="1:2" x14ac:dyDescent="0.2">
      <c r="A3521" s="57">
        <v>40368</v>
      </c>
      <c r="B3521">
        <v>1.2637</v>
      </c>
    </row>
    <row r="3522" spans="1:2" x14ac:dyDescent="0.2">
      <c r="A3522" s="57">
        <v>40367</v>
      </c>
      <c r="B3522">
        <v>1.266</v>
      </c>
    </row>
    <row r="3523" spans="1:2" x14ac:dyDescent="0.2">
      <c r="A3523" s="57">
        <v>40366</v>
      </c>
      <c r="B3523">
        <v>1.2566999999999999</v>
      </c>
    </row>
    <row r="3524" spans="1:2" x14ac:dyDescent="0.2">
      <c r="A3524" s="57">
        <v>40365</v>
      </c>
      <c r="B3524">
        <v>1.2579</v>
      </c>
    </row>
    <row r="3525" spans="1:2" x14ac:dyDescent="0.2">
      <c r="A3525" s="57">
        <v>40364</v>
      </c>
      <c r="B3525">
        <v>1.2531000000000001</v>
      </c>
    </row>
    <row r="3526" spans="1:2" x14ac:dyDescent="0.2">
      <c r="A3526" s="57">
        <v>40363</v>
      </c>
    </row>
    <row r="3527" spans="1:2" x14ac:dyDescent="0.2">
      <c r="A3527" s="57">
        <v>40362</v>
      </c>
    </row>
    <row r="3528" spans="1:2" x14ac:dyDescent="0.2">
      <c r="A3528" s="57">
        <v>40361</v>
      </c>
      <c r="B3528">
        <v>1.2547999999999999</v>
      </c>
    </row>
    <row r="3529" spans="1:2" x14ac:dyDescent="0.2">
      <c r="A3529" s="57">
        <v>40360</v>
      </c>
      <c r="B3529">
        <v>1.2327999999999999</v>
      </c>
    </row>
    <row r="3530" spans="1:2" x14ac:dyDescent="0.2">
      <c r="A3530" s="57">
        <v>40359</v>
      </c>
      <c r="B3530">
        <v>1.2271000000000001</v>
      </c>
    </row>
    <row r="3531" spans="1:2" x14ac:dyDescent="0.2">
      <c r="A3531" s="57">
        <v>40358</v>
      </c>
      <c r="B3531">
        <v>1.2198</v>
      </c>
    </row>
    <row r="3532" spans="1:2" x14ac:dyDescent="0.2">
      <c r="A3532" s="57">
        <v>40357</v>
      </c>
      <c r="B3532">
        <v>1.2339</v>
      </c>
    </row>
    <row r="3533" spans="1:2" x14ac:dyDescent="0.2">
      <c r="A3533" s="57">
        <v>40356</v>
      </c>
    </row>
    <row r="3534" spans="1:2" x14ac:dyDescent="0.2">
      <c r="A3534" s="57">
        <v>40355</v>
      </c>
    </row>
    <row r="3535" spans="1:2" x14ac:dyDescent="0.2">
      <c r="A3535" s="57">
        <v>40354</v>
      </c>
      <c r="B3535">
        <v>1.2294</v>
      </c>
    </row>
    <row r="3536" spans="1:2" x14ac:dyDescent="0.2">
      <c r="A3536" s="57">
        <v>40353</v>
      </c>
      <c r="B3536">
        <v>1.2262</v>
      </c>
    </row>
    <row r="3537" spans="1:2" x14ac:dyDescent="0.2">
      <c r="A3537" s="57">
        <v>40352</v>
      </c>
      <c r="B3537">
        <v>1.2271000000000001</v>
      </c>
    </row>
    <row r="3538" spans="1:2" x14ac:dyDescent="0.2">
      <c r="A3538" s="57">
        <v>40351</v>
      </c>
      <c r="B3538">
        <v>1.2258</v>
      </c>
    </row>
    <row r="3539" spans="1:2" x14ac:dyDescent="0.2">
      <c r="A3539" s="57">
        <v>40350</v>
      </c>
      <c r="B3539">
        <v>1.2391000000000001</v>
      </c>
    </row>
    <row r="3540" spans="1:2" x14ac:dyDescent="0.2">
      <c r="A3540" s="57">
        <v>40349</v>
      </c>
    </row>
    <row r="3541" spans="1:2" x14ac:dyDescent="0.2">
      <c r="A3541" s="57">
        <v>40348</v>
      </c>
    </row>
    <row r="3542" spans="1:2" x14ac:dyDescent="0.2">
      <c r="A3542" s="57">
        <v>40347</v>
      </c>
      <c r="B3542">
        <v>1.2372000000000001</v>
      </c>
    </row>
    <row r="3543" spans="1:2" x14ac:dyDescent="0.2">
      <c r="A3543" s="57">
        <v>40346</v>
      </c>
      <c r="B3543">
        <v>1.2363</v>
      </c>
    </row>
    <row r="3544" spans="1:2" x14ac:dyDescent="0.2">
      <c r="A3544" s="57">
        <v>40345</v>
      </c>
      <c r="B3544">
        <v>1.2277</v>
      </c>
    </row>
    <row r="3545" spans="1:2" x14ac:dyDescent="0.2">
      <c r="A3545" s="57">
        <v>40344</v>
      </c>
      <c r="B3545">
        <v>1.2258</v>
      </c>
    </row>
    <row r="3546" spans="1:2" x14ac:dyDescent="0.2">
      <c r="A3546" s="57">
        <v>40343</v>
      </c>
      <c r="B3546">
        <v>1.2249000000000001</v>
      </c>
    </row>
    <row r="3547" spans="1:2" x14ac:dyDescent="0.2">
      <c r="A3547" s="57">
        <v>40342</v>
      </c>
    </row>
    <row r="3548" spans="1:2" x14ac:dyDescent="0.2">
      <c r="A3548" s="57">
        <v>40341</v>
      </c>
    </row>
    <row r="3549" spans="1:2" x14ac:dyDescent="0.2">
      <c r="A3549" s="57">
        <v>40340</v>
      </c>
      <c r="B3549">
        <v>1.2126999999999999</v>
      </c>
    </row>
    <row r="3550" spans="1:2" x14ac:dyDescent="0.2">
      <c r="A3550" s="57">
        <v>40339</v>
      </c>
      <c r="B3550">
        <v>1.2044999999999999</v>
      </c>
    </row>
    <row r="3551" spans="1:2" x14ac:dyDescent="0.2">
      <c r="A3551" s="57">
        <v>40338</v>
      </c>
      <c r="B3551">
        <v>1.2010000000000001</v>
      </c>
    </row>
    <row r="3552" spans="1:2" x14ac:dyDescent="0.2">
      <c r="A3552" s="57">
        <v>40337</v>
      </c>
      <c r="B3552">
        <v>1.1941999999999999</v>
      </c>
    </row>
    <row r="3553" spans="1:2" x14ac:dyDescent="0.2">
      <c r="A3553" s="57">
        <v>40336</v>
      </c>
      <c r="B3553">
        <v>1.1959</v>
      </c>
    </row>
    <row r="3554" spans="1:2" x14ac:dyDescent="0.2">
      <c r="A3554" s="57">
        <v>40335</v>
      </c>
    </row>
    <row r="3555" spans="1:2" x14ac:dyDescent="0.2">
      <c r="A3555" s="57">
        <v>40334</v>
      </c>
    </row>
    <row r="3556" spans="1:2" x14ac:dyDescent="0.2">
      <c r="A3556" s="57">
        <v>40333</v>
      </c>
      <c r="B3556">
        <v>1.206</v>
      </c>
    </row>
    <row r="3557" spans="1:2" x14ac:dyDescent="0.2">
      <c r="A3557" s="57">
        <v>40332</v>
      </c>
      <c r="B3557">
        <v>1.2267999999999999</v>
      </c>
    </row>
    <row r="3558" spans="1:2" x14ac:dyDescent="0.2">
      <c r="A3558" s="57">
        <v>40331</v>
      </c>
      <c r="B3558">
        <v>1.2218</v>
      </c>
    </row>
    <row r="3559" spans="1:2" x14ac:dyDescent="0.2">
      <c r="A3559" s="57">
        <v>40330</v>
      </c>
      <c r="B3559">
        <v>1.2155</v>
      </c>
    </row>
    <row r="3560" spans="1:2" x14ac:dyDescent="0.2">
      <c r="A3560" s="57">
        <v>40329</v>
      </c>
      <c r="B3560">
        <v>1.2306999999999999</v>
      </c>
    </row>
    <row r="3561" spans="1:2" x14ac:dyDescent="0.2">
      <c r="A3561" s="57">
        <v>40328</v>
      </c>
    </row>
    <row r="3562" spans="1:2" x14ac:dyDescent="0.2">
      <c r="A3562" s="57">
        <v>40327</v>
      </c>
    </row>
    <row r="3563" spans="1:2" x14ac:dyDescent="0.2">
      <c r="A3563" s="57">
        <v>40326</v>
      </c>
      <c r="B3563">
        <v>1.2383999999999999</v>
      </c>
    </row>
    <row r="3564" spans="1:2" x14ac:dyDescent="0.2">
      <c r="A3564" s="57">
        <v>40325</v>
      </c>
      <c r="B3564">
        <v>1.2255</v>
      </c>
    </row>
    <row r="3565" spans="1:2" x14ac:dyDescent="0.2">
      <c r="A3565" s="57">
        <v>40324</v>
      </c>
      <c r="B3565">
        <v>1.2309000000000001</v>
      </c>
    </row>
    <row r="3566" spans="1:2" x14ac:dyDescent="0.2">
      <c r="A3566" s="57">
        <v>40323</v>
      </c>
      <c r="B3566">
        <v>1.2222999999999999</v>
      </c>
    </row>
    <row r="3567" spans="1:2" x14ac:dyDescent="0.2">
      <c r="A3567" s="57">
        <v>40322</v>
      </c>
      <c r="B3567">
        <v>1.236</v>
      </c>
    </row>
    <row r="3568" spans="1:2" x14ac:dyDescent="0.2">
      <c r="A3568" s="57">
        <v>40321</v>
      </c>
    </row>
    <row r="3569" spans="1:2" x14ac:dyDescent="0.2">
      <c r="A3569" s="57">
        <v>40320</v>
      </c>
    </row>
    <row r="3570" spans="1:2" x14ac:dyDescent="0.2">
      <c r="A3570" s="57">
        <v>40319</v>
      </c>
      <c r="B3570">
        <v>1.2497</v>
      </c>
    </row>
    <row r="3571" spans="1:2" x14ac:dyDescent="0.2">
      <c r="A3571" s="57">
        <v>40318</v>
      </c>
      <c r="B3571">
        <v>1.2334000000000001</v>
      </c>
    </row>
    <row r="3572" spans="1:2" x14ac:dyDescent="0.2">
      <c r="A3572" s="57">
        <v>40317</v>
      </c>
      <c r="B3572">
        <v>1.2270000000000001</v>
      </c>
    </row>
    <row r="3573" spans="1:2" x14ac:dyDescent="0.2">
      <c r="A3573" s="57">
        <v>40316</v>
      </c>
      <c r="B3573">
        <v>1.2427999999999999</v>
      </c>
    </row>
    <row r="3574" spans="1:2" x14ac:dyDescent="0.2">
      <c r="A3574" s="57">
        <v>40315</v>
      </c>
      <c r="B3574">
        <v>1.2349000000000001</v>
      </c>
    </row>
    <row r="3575" spans="1:2" x14ac:dyDescent="0.2">
      <c r="A3575" s="57">
        <v>40314</v>
      </c>
    </row>
    <row r="3576" spans="1:2" x14ac:dyDescent="0.2">
      <c r="A3576" s="57">
        <v>40313</v>
      </c>
    </row>
    <row r="3577" spans="1:2" x14ac:dyDescent="0.2">
      <c r="A3577" s="57">
        <v>40312</v>
      </c>
      <c r="B3577">
        <v>1.2492000000000001</v>
      </c>
    </row>
    <row r="3578" spans="1:2" x14ac:dyDescent="0.2">
      <c r="A3578" s="57">
        <v>40311</v>
      </c>
      <c r="B3578">
        <v>1.2586999999999999</v>
      </c>
    </row>
    <row r="3579" spans="1:2" x14ac:dyDescent="0.2">
      <c r="A3579" s="57">
        <v>40310</v>
      </c>
      <c r="B3579">
        <v>1.2685999999999999</v>
      </c>
    </row>
    <row r="3580" spans="1:2" x14ac:dyDescent="0.2">
      <c r="A3580" s="57">
        <v>40309</v>
      </c>
      <c r="B3580">
        <v>1.2698</v>
      </c>
    </row>
    <row r="3581" spans="1:2" x14ac:dyDescent="0.2">
      <c r="A3581" s="57">
        <v>40308</v>
      </c>
      <c r="B3581">
        <v>1.2968999999999999</v>
      </c>
    </row>
    <row r="3582" spans="1:2" x14ac:dyDescent="0.2">
      <c r="A3582" s="57">
        <v>40307</v>
      </c>
    </row>
    <row r="3583" spans="1:2" x14ac:dyDescent="0.2">
      <c r="A3583" s="57">
        <v>40306</v>
      </c>
    </row>
    <row r="3584" spans="1:2" x14ac:dyDescent="0.2">
      <c r="A3584" s="57">
        <v>40305</v>
      </c>
      <c r="B3584">
        <v>1.2746</v>
      </c>
    </row>
    <row r="3585" spans="1:2" x14ac:dyDescent="0.2">
      <c r="A3585" s="57">
        <v>40304</v>
      </c>
      <c r="B3585">
        <v>1.2726999999999999</v>
      </c>
    </row>
    <row r="3586" spans="1:2" x14ac:dyDescent="0.2">
      <c r="A3586" s="57">
        <v>40303</v>
      </c>
      <c r="B3586">
        <v>1.2924</v>
      </c>
    </row>
    <row r="3587" spans="1:2" x14ac:dyDescent="0.2">
      <c r="A3587" s="57">
        <v>40302</v>
      </c>
      <c r="B3587">
        <v>1.3089</v>
      </c>
    </row>
    <row r="3588" spans="1:2" x14ac:dyDescent="0.2">
      <c r="A3588" s="57">
        <v>40301</v>
      </c>
      <c r="B3588">
        <v>1.3238000000000001</v>
      </c>
    </row>
    <row r="3589" spans="1:2" x14ac:dyDescent="0.2">
      <c r="A3589" s="57">
        <v>40300</v>
      </c>
    </row>
    <row r="3590" spans="1:2" x14ac:dyDescent="0.2">
      <c r="A3590" s="57">
        <v>40299</v>
      </c>
    </row>
    <row r="3591" spans="1:2" x14ac:dyDescent="0.2">
      <c r="A3591" s="57">
        <v>40298</v>
      </c>
      <c r="B3591">
        <v>1.3314999999999999</v>
      </c>
    </row>
    <row r="3592" spans="1:2" x14ac:dyDescent="0.2">
      <c r="A3592" s="57">
        <v>40297</v>
      </c>
      <c r="B3592">
        <v>1.3255999999999999</v>
      </c>
    </row>
    <row r="3593" spans="1:2" x14ac:dyDescent="0.2">
      <c r="A3593" s="57">
        <v>40296</v>
      </c>
      <c r="B3593">
        <v>1.3245</v>
      </c>
    </row>
    <row r="3594" spans="1:2" x14ac:dyDescent="0.2">
      <c r="A3594" s="57">
        <v>40295</v>
      </c>
      <c r="B3594">
        <v>1.329</v>
      </c>
    </row>
    <row r="3595" spans="1:2" x14ac:dyDescent="0.2">
      <c r="A3595" s="57">
        <v>40294</v>
      </c>
      <c r="B3595">
        <v>1.3321000000000001</v>
      </c>
    </row>
    <row r="3596" spans="1:2" x14ac:dyDescent="0.2">
      <c r="A3596" s="57">
        <v>40293</v>
      </c>
    </row>
    <row r="3597" spans="1:2" x14ac:dyDescent="0.2">
      <c r="A3597" s="57">
        <v>40292</v>
      </c>
    </row>
    <row r="3598" spans="1:2" x14ac:dyDescent="0.2">
      <c r="A3598" s="57">
        <v>40291</v>
      </c>
      <c r="B3598">
        <v>1.3310999999999999</v>
      </c>
    </row>
    <row r="3599" spans="1:2" x14ac:dyDescent="0.2">
      <c r="A3599" s="57">
        <v>40290</v>
      </c>
      <c r="B3599">
        <v>1.3339000000000001</v>
      </c>
    </row>
    <row r="3600" spans="1:2" x14ac:dyDescent="0.2">
      <c r="A3600" s="57">
        <v>40289</v>
      </c>
      <c r="B3600">
        <v>1.3372999999999999</v>
      </c>
    </row>
    <row r="3601" spans="1:2" x14ac:dyDescent="0.2">
      <c r="A3601" s="57">
        <v>40288</v>
      </c>
      <c r="B3601">
        <v>1.3486</v>
      </c>
    </row>
    <row r="3602" spans="1:2" x14ac:dyDescent="0.2">
      <c r="A3602" s="57">
        <v>40287</v>
      </c>
      <c r="B3602">
        <v>1.3431999999999999</v>
      </c>
    </row>
    <row r="3603" spans="1:2" x14ac:dyDescent="0.2">
      <c r="A3603" s="57">
        <v>40286</v>
      </c>
    </row>
    <row r="3604" spans="1:2" x14ac:dyDescent="0.2">
      <c r="A3604" s="57">
        <v>40285</v>
      </c>
    </row>
    <row r="3605" spans="1:2" x14ac:dyDescent="0.2">
      <c r="A3605" s="57">
        <v>40284</v>
      </c>
      <c r="B3605">
        <v>1.3534999999999999</v>
      </c>
    </row>
    <row r="3606" spans="1:2" x14ac:dyDescent="0.2">
      <c r="A3606" s="57">
        <v>40283</v>
      </c>
      <c r="B3606">
        <v>1.3544</v>
      </c>
    </row>
    <row r="3607" spans="1:2" x14ac:dyDescent="0.2">
      <c r="A3607" s="57">
        <v>40282</v>
      </c>
      <c r="B3607">
        <v>1.3614999999999999</v>
      </c>
    </row>
    <row r="3608" spans="1:2" x14ac:dyDescent="0.2">
      <c r="A3608" s="57">
        <v>40281</v>
      </c>
      <c r="B3608">
        <v>1.3583000000000001</v>
      </c>
    </row>
    <row r="3609" spans="1:2" x14ac:dyDescent="0.2">
      <c r="A3609" s="57">
        <v>40280</v>
      </c>
      <c r="B3609">
        <v>1.3585</v>
      </c>
    </row>
    <row r="3610" spans="1:2" x14ac:dyDescent="0.2">
      <c r="A3610" s="57">
        <v>40279</v>
      </c>
    </row>
    <row r="3611" spans="1:2" x14ac:dyDescent="0.2">
      <c r="A3611" s="57">
        <v>40278</v>
      </c>
    </row>
    <row r="3612" spans="1:2" x14ac:dyDescent="0.2">
      <c r="A3612" s="57">
        <v>40277</v>
      </c>
      <c r="B3612">
        <v>1.3384</v>
      </c>
    </row>
    <row r="3613" spans="1:2" x14ac:dyDescent="0.2">
      <c r="A3613" s="57">
        <v>40276</v>
      </c>
      <c r="B3613">
        <v>1.3295999999999999</v>
      </c>
    </row>
    <row r="3614" spans="1:2" x14ac:dyDescent="0.2">
      <c r="A3614" s="57">
        <v>40275</v>
      </c>
      <c r="B3614">
        <v>1.3340000000000001</v>
      </c>
    </row>
    <row r="3615" spans="1:2" x14ac:dyDescent="0.2">
      <c r="A3615" s="57">
        <v>40274</v>
      </c>
      <c r="B3615">
        <v>1.3395999999999999</v>
      </c>
    </row>
    <row r="3616" spans="1:2" x14ac:dyDescent="0.2">
      <c r="A3616" s="57">
        <v>40273</v>
      </c>
    </row>
    <row r="3617" spans="1:2" x14ac:dyDescent="0.2">
      <c r="A3617" s="57">
        <v>40272</v>
      </c>
    </row>
    <row r="3618" spans="1:2" x14ac:dyDescent="0.2">
      <c r="A3618" s="57">
        <v>40271</v>
      </c>
    </row>
    <row r="3619" spans="1:2" x14ac:dyDescent="0.2">
      <c r="A3619" s="57">
        <v>40270</v>
      </c>
    </row>
    <row r="3620" spans="1:2" x14ac:dyDescent="0.2">
      <c r="A3620" s="57">
        <v>40269</v>
      </c>
      <c r="B3620">
        <v>1.3468</v>
      </c>
    </row>
    <row r="3621" spans="1:2" x14ac:dyDescent="0.2">
      <c r="A3621" s="57">
        <v>40268</v>
      </c>
      <c r="B3621">
        <v>1.3479000000000001</v>
      </c>
    </row>
    <row r="3622" spans="1:2" x14ac:dyDescent="0.2">
      <c r="A3622" s="57">
        <v>40267</v>
      </c>
      <c r="B3622">
        <v>1.3482000000000001</v>
      </c>
    </row>
    <row r="3623" spans="1:2" x14ac:dyDescent="0.2">
      <c r="A3623" s="57">
        <v>40266</v>
      </c>
      <c r="B3623">
        <v>1.3471</v>
      </c>
    </row>
    <row r="3624" spans="1:2" x14ac:dyDescent="0.2">
      <c r="A3624" s="57">
        <v>40265</v>
      </c>
    </row>
    <row r="3625" spans="1:2" x14ac:dyDescent="0.2">
      <c r="A3625" s="57">
        <v>40264</v>
      </c>
    </row>
    <row r="3626" spans="1:2" x14ac:dyDescent="0.2">
      <c r="A3626" s="57">
        <v>40263</v>
      </c>
      <c r="B3626">
        <v>1.3352999999999999</v>
      </c>
    </row>
    <row r="3627" spans="1:2" x14ac:dyDescent="0.2">
      <c r="A3627" s="57">
        <v>40262</v>
      </c>
      <c r="B3627">
        <v>1.3355999999999999</v>
      </c>
    </row>
    <row r="3628" spans="1:2" x14ac:dyDescent="0.2">
      <c r="A3628" s="57">
        <v>40261</v>
      </c>
      <c r="B3628">
        <v>1.3338000000000001</v>
      </c>
    </row>
    <row r="3629" spans="1:2" x14ac:dyDescent="0.2">
      <c r="A3629" s="57">
        <v>40260</v>
      </c>
      <c r="B3629">
        <v>1.3519000000000001</v>
      </c>
    </row>
    <row r="3630" spans="1:2" x14ac:dyDescent="0.2">
      <c r="A3630" s="57">
        <v>40259</v>
      </c>
      <c r="B3630">
        <v>1.3471</v>
      </c>
    </row>
    <row r="3631" spans="1:2" x14ac:dyDescent="0.2">
      <c r="A3631" s="57">
        <v>40258</v>
      </c>
    </row>
    <row r="3632" spans="1:2" x14ac:dyDescent="0.2">
      <c r="A3632" s="57">
        <v>40257</v>
      </c>
    </row>
    <row r="3633" spans="1:2" x14ac:dyDescent="0.2">
      <c r="A3633" s="57">
        <v>40256</v>
      </c>
      <c r="B3633">
        <v>1.3548</v>
      </c>
    </row>
    <row r="3634" spans="1:2" x14ac:dyDescent="0.2">
      <c r="A3634" s="57">
        <v>40255</v>
      </c>
      <c r="B3634">
        <v>1.3660000000000001</v>
      </c>
    </row>
    <row r="3635" spans="1:2" x14ac:dyDescent="0.2">
      <c r="A3635" s="57">
        <v>40254</v>
      </c>
      <c r="B3635">
        <v>1.3755999999999999</v>
      </c>
    </row>
    <row r="3636" spans="1:2" x14ac:dyDescent="0.2">
      <c r="A3636" s="57">
        <v>40253</v>
      </c>
      <c r="B3636">
        <v>1.3723000000000001</v>
      </c>
    </row>
    <row r="3637" spans="1:2" x14ac:dyDescent="0.2">
      <c r="A3637" s="57">
        <v>40252</v>
      </c>
      <c r="B3637">
        <v>1.3705000000000001</v>
      </c>
    </row>
    <row r="3638" spans="1:2" x14ac:dyDescent="0.2">
      <c r="A3638" s="57">
        <v>40251</v>
      </c>
    </row>
    <row r="3639" spans="1:2" x14ac:dyDescent="0.2">
      <c r="A3639" s="57">
        <v>40250</v>
      </c>
    </row>
    <row r="3640" spans="1:2" x14ac:dyDescent="0.2">
      <c r="A3640" s="57">
        <v>40249</v>
      </c>
      <c r="B3640">
        <v>1.3765000000000001</v>
      </c>
    </row>
    <row r="3641" spans="1:2" x14ac:dyDescent="0.2">
      <c r="A3641" s="57">
        <v>40248</v>
      </c>
      <c r="B3641">
        <v>1.3656999999999999</v>
      </c>
    </row>
    <row r="3642" spans="1:2" x14ac:dyDescent="0.2">
      <c r="A3642" s="57">
        <v>40247</v>
      </c>
      <c r="B3642">
        <v>1.361</v>
      </c>
    </row>
    <row r="3643" spans="1:2" x14ac:dyDescent="0.2">
      <c r="A3643" s="57">
        <v>40246</v>
      </c>
      <c r="B3643">
        <v>1.3556999999999999</v>
      </c>
    </row>
    <row r="3644" spans="1:2" x14ac:dyDescent="0.2">
      <c r="A3644" s="57">
        <v>40245</v>
      </c>
      <c r="B3644">
        <v>1.3662000000000001</v>
      </c>
    </row>
    <row r="3645" spans="1:2" x14ac:dyDescent="0.2">
      <c r="A3645" s="57">
        <v>40244</v>
      </c>
    </row>
    <row r="3646" spans="1:2" x14ac:dyDescent="0.2">
      <c r="A3646" s="57">
        <v>40243</v>
      </c>
    </row>
    <row r="3647" spans="1:2" x14ac:dyDescent="0.2">
      <c r="A3647" s="57">
        <v>40242</v>
      </c>
      <c r="B3647">
        <v>1.3582000000000001</v>
      </c>
    </row>
    <row r="3648" spans="1:2" x14ac:dyDescent="0.2">
      <c r="A3648" s="57">
        <v>40241</v>
      </c>
      <c r="B3648">
        <v>1.3668</v>
      </c>
    </row>
    <row r="3649" spans="1:2" x14ac:dyDescent="0.2">
      <c r="A3649" s="57">
        <v>40240</v>
      </c>
      <c r="B3649">
        <v>1.3641000000000001</v>
      </c>
    </row>
    <row r="3650" spans="1:2" x14ac:dyDescent="0.2">
      <c r="A3650" s="57">
        <v>40239</v>
      </c>
      <c r="B3650">
        <v>1.3548</v>
      </c>
    </row>
    <row r="3651" spans="1:2" x14ac:dyDescent="0.2">
      <c r="A3651" s="57">
        <v>40238</v>
      </c>
      <c r="B3651">
        <v>1.3525</v>
      </c>
    </row>
    <row r="3652" spans="1:2" x14ac:dyDescent="0.2">
      <c r="A3652" s="57">
        <v>40237</v>
      </c>
    </row>
    <row r="3653" spans="1:2" x14ac:dyDescent="0.2">
      <c r="A3653" s="57">
        <v>40236</v>
      </c>
    </row>
    <row r="3654" spans="1:2" x14ac:dyDescent="0.2">
      <c r="A3654" s="57">
        <v>40235</v>
      </c>
      <c r="B3654">
        <v>1.357</v>
      </c>
    </row>
    <row r="3655" spans="1:2" x14ac:dyDescent="0.2">
      <c r="A3655" s="57">
        <v>40234</v>
      </c>
      <c r="B3655">
        <v>1.3489</v>
      </c>
    </row>
    <row r="3656" spans="1:2" x14ac:dyDescent="0.2">
      <c r="A3656" s="57">
        <v>40233</v>
      </c>
      <c r="B3656">
        <v>1.3547</v>
      </c>
    </row>
    <row r="3657" spans="1:2" x14ac:dyDescent="0.2">
      <c r="A3657" s="57">
        <v>40232</v>
      </c>
      <c r="B3657">
        <v>1.3576999999999999</v>
      </c>
    </row>
    <row r="3658" spans="1:2" x14ac:dyDescent="0.2">
      <c r="A3658" s="57">
        <v>40231</v>
      </c>
      <c r="B3658">
        <v>1.3626</v>
      </c>
    </row>
    <row r="3659" spans="1:2" x14ac:dyDescent="0.2">
      <c r="A3659" s="57">
        <v>40230</v>
      </c>
    </row>
    <row r="3660" spans="1:2" x14ac:dyDescent="0.2">
      <c r="A3660" s="57">
        <v>40229</v>
      </c>
    </row>
    <row r="3661" spans="1:2" x14ac:dyDescent="0.2">
      <c r="A3661" s="57">
        <v>40228</v>
      </c>
      <c r="B3661">
        <v>1.3519000000000001</v>
      </c>
    </row>
    <row r="3662" spans="1:2" x14ac:dyDescent="0.2">
      <c r="A3662" s="57">
        <v>40227</v>
      </c>
      <c r="B3662">
        <v>1.3567</v>
      </c>
    </row>
    <row r="3663" spans="1:2" x14ac:dyDescent="0.2">
      <c r="A3663" s="57">
        <v>40226</v>
      </c>
      <c r="B3663">
        <v>1.3726</v>
      </c>
    </row>
    <row r="3664" spans="1:2" x14ac:dyDescent="0.2">
      <c r="A3664" s="57">
        <v>40225</v>
      </c>
      <c r="B3664">
        <v>1.3649</v>
      </c>
    </row>
    <row r="3665" spans="1:2" x14ac:dyDescent="0.2">
      <c r="A3665" s="57">
        <v>40224</v>
      </c>
      <c r="B3665">
        <v>1.3607</v>
      </c>
    </row>
    <row r="3666" spans="1:2" x14ac:dyDescent="0.2">
      <c r="A3666" s="57">
        <v>40223</v>
      </c>
    </row>
    <row r="3667" spans="1:2" x14ac:dyDescent="0.2">
      <c r="A3667" s="57">
        <v>40222</v>
      </c>
    </row>
    <row r="3668" spans="1:2" x14ac:dyDescent="0.2">
      <c r="A3668" s="57">
        <v>40221</v>
      </c>
      <c r="B3668">
        <v>1.3572</v>
      </c>
    </row>
    <row r="3669" spans="1:2" x14ac:dyDescent="0.2">
      <c r="A3669" s="57">
        <v>40220</v>
      </c>
      <c r="B3669">
        <v>1.3717999999999999</v>
      </c>
    </row>
    <row r="3670" spans="1:2" x14ac:dyDescent="0.2">
      <c r="A3670" s="57">
        <v>40219</v>
      </c>
      <c r="B3670">
        <v>1.3740000000000001</v>
      </c>
    </row>
    <row r="3671" spans="1:2" x14ac:dyDescent="0.2">
      <c r="A3671" s="57">
        <v>40218</v>
      </c>
      <c r="B3671">
        <v>1.3759999999999999</v>
      </c>
    </row>
    <row r="3672" spans="1:2" x14ac:dyDescent="0.2">
      <c r="A3672" s="57">
        <v>40217</v>
      </c>
      <c r="B3672">
        <v>1.3674999999999999</v>
      </c>
    </row>
    <row r="3673" spans="1:2" x14ac:dyDescent="0.2">
      <c r="A3673" s="57">
        <v>40216</v>
      </c>
    </row>
    <row r="3674" spans="1:2" x14ac:dyDescent="0.2">
      <c r="A3674" s="57">
        <v>40215</v>
      </c>
    </row>
    <row r="3675" spans="1:2" x14ac:dyDescent="0.2">
      <c r="A3675" s="57">
        <v>40214</v>
      </c>
      <c r="B3675">
        <v>1.3691</v>
      </c>
    </row>
    <row r="3676" spans="1:2" x14ac:dyDescent="0.2">
      <c r="A3676" s="57">
        <v>40213</v>
      </c>
      <c r="B3676">
        <v>1.3847</v>
      </c>
    </row>
    <row r="3677" spans="1:2" x14ac:dyDescent="0.2">
      <c r="A3677" s="57">
        <v>40212</v>
      </c>
      <c r="B3677">
        <v>1.3984000000000001</v>
      </c>
    </row>
    <row r="3678" spans="1:2" x14ac:dyDescent="0.2">
      <c r="A3678" s="57">
        <v>40211</v>
      </c>
      <c r="B3678">
        <v>1.3936999999999999</v>
      </c>
    </row>
    <row r="3679" spans="1:2" x14ac:dyDescent="0.2">
      <c r="A3679" s="57">
        <v>40210</v>
      </c>
      <c r="B3679">
        <v>1.3913</v>
      </c>
    </row>
    <row r="3680" spans="1:2" x14ac:dyDescent="0.2">
      <c r="A3680" s="57">
        <v>40209</v>
      </c>
    </row>
    <row r="3681" spans="1:2" x14ac:dyDescent="0.2">
      <c r="A3681" s="57">
        <v>40208</v>
      </c>
    </row>
    <row r="3682" spans="1:2" x14ac:dyDescent="0.2">
      <c r="A3682" s="57">
        <v>40207</v>
      </c>
      <c r="B3682">
        <v>1.3966000000000001</v>
      </c>
    </row>
    <row r="3683" spans="1:2" x14ac:dyDescent="0.2">
      <c r="A3683" s="57">
        <v>40206</v>
      </c>
      <c r="B3683">
        <v>1.3998999999999999</v>
      </c>
    </row>
    <row r="3684" spans="1:2" x14ac:dyDescent="0.2">
      <c r="A3684" s="57">
        <v>40205</v>
      </c>
      <c r="B3684">
        <v>1.4072</v>
      </c>
    </row>
    <row r="3685" spans="1:2" x14ac:dyDescent="0.2">
      <c r="A3685" s="57">
        <v>40204</v>
      </c>
      <c r="B3685">
        <v>1.4085000000000001</v>
      </c>
    </row>
    <row r="3686" spans="1:2" x14ac:dyDescent="0.2">
      <c r="A3686" s="57">
        <v>40203</v>
      </c>
      <c r="B3686">
        <v>1.4151</v>
      </c>
    </row>
    <row r="3687" spans="1:2" x14ac:dyDescent="0.2">
      <c r="A3687" s="57">
        <v>40202</v>
      </c>
    </row>
    <row r="3688" spans="1:2" x14ac:dyDescent="0.2">
      <c r="A3688" s="57">
        <v>40201</v>
      </c>
    </row>
    <row r="3689" spans="1:2" x14ac:dyDescent="0.2">
      <c r="A3689" s="57">
        <v>40200</v>
      </c>
      <c r="B3689">
        <v>1.4135</v>
      </c>
    </row>
    <row r="3690" spans="1:2" x14ac:dyDescent="0.2">
      <c r="A3690" s="57">
        <v>40199</v>
      </c>
      <c r="B3690">
        <v>1.4064000000000001</v>
      </c>
    </row>
    <row r="3691" spans="1:2" x14ac:dyDescent="0.2">
      <c r="A3691" s="57">
        <v>40198</v>
      </c>
      <c r="B3691">
        <v>1.4132</v>
      </c>
    </row>
    <row r="3692" spans="1:2" x14ac:dyDescent="0.2">
      <c r="A3692" s="57">
        <v>40197</v>
      </c>
      <c r="B3692">
        <v>1.4278999999999999</v>
      </c>
    </row>
    <row r="3693" spans="1:2" x14ac:dyDescent="0.2">
      <c r="A3693" s="57">
        <v>40196</v>
      </c>
      <c r="B3693">
        <v>1.4369000000000001</v>
      </c>
    </row>
    <row r="3694" spans="1:2" x14ac:dyDescent="0.2">
      <c r="A3694" s="57">
        <v>40195</v>
      </c>
    </row>
    <row r="3695" spans="1:2" x14ac:dyDescent="0.2">
      <c r="A3695" s="57">
        <v>40194</v>
      </c>
    </row>
    <row r="3696" spans="1:2" x14ac:dyDescent="0.2">
      <c r="A3696" s="57">
        <v>40193</v>
      </c>
      <c r="B3696">
        <v>1.4374</v>
      </c>
    </row>
    <row r="3697" spans="1:2" x14ac:dyDescent="0.2">
      <c r="A3697" s="57">
        <v>40192</v>
      </c>
      <c r="B3697">
        <v>1.4486000000000001</v>
      </c>
    </row>
    <row r="3698" spans="1:2" x14ac:dyDescent="0.2">
      <c r="A3698" s="57">
        <v>40191</v>
      </c>
      <c r="B3698">
        <v>1.4562999999999999</v>
      </c>
    </row>
    <row r="3699" spans="1:2" x14ac:dyDescent="0.2">
      <c r="A3699" s="57">
        <v>40190</v>
      </c>
      <c r="B3699">
        <v>1.4480999999999999</v>
      </c>
    </row>
    <row r="3700" spans="1:2" x14ac:dyDescent="0.2">
      <c r="A3700" s="57">
        <v>40189</v>
      </c>
      <c r="B3700">
        <v>1.4528000000000001</v>
      </c>
    </row>
    <row r="3701" spans="1:2" x14ac:dyDescent="0.2">
      <c r="A3701" s="57">
        <v>40188</v>
      </c>
    </row>
    <row r="3702" spans="1:2" x14ac:dyDescent="0.2">
      <c r="A3702" s="57">
        <v>40187</v>
      </c>
    </row>
    <row r="3703" spans="1:2" x14ac:dyDescent="0.2">
      <c r="A3703" s="57">
        <v>40186</v>
      </c>
      <c r="B3703">
        <v>1.4273</v>
      </c>
    </row>
    <row r="3704" spans="1:2" x14ac:dyDescent="0.2">
      <c r="A3704" s="57">
        <v>40185</v>
      </c>
      <c r="B3704">
        <v>1.4303999999999999</v>
      </c>
    </row>
    <row r="3705" spans="1:2" x14ac:dyDescent="0.2">
      <c r="A3705" s="57">
        <v>40184</v>
      </c>
      <c r="B3705">
        <v>1.4350000000000001</v>
      </c>
    </row>
    <row r="3706" spans="1:2" x14ac:dyDescent="0.2">
      <c r="A3706" s="57">
        <v>40183</v>
      </c>
      <c r="B3706">
        <v>1.4441999999999999</v>
      </c>
    </row>
    <row r="3707" spans="1:2" x14ac:dyDescent="0.2">
      <c r="A3707" s="57">
        <v>40182</v>
      </c>
      <c r="B3707">
        <v>1.4389000000000001</v>
      </c>
    </row>
    <row r="3708" spans="1:2" x14ac:dyDescent="0.2">
      <c r="A3708" s="57">
        <v>40181</v>
      </c>
    </row>
    <row r="3709" spans="1:2" x14ac:dyDescent="0.2">
      <c r="A3709" s="57">
        <v>40180</v>
      </c>
    </row>
    <row r="3710" spans="1:2" x14ac:dyDescent="0.2">
      <c r="A3710" s="57">
        <v>40179</v>
      </c>
    </row>
    <row r="3711" spans="1:2" x14ac:dyDescent="0.2">
      <c r="A3711" s="57">
        <v>40178</v>
      </c>
      <c r="B3711">
        <v>1.4406000000000001</v>
      </c>
    </row>
    <row r="3712" spans="1:2" x14ac:dyDescent="0.2">
      <c r="A3712" s="57">
        <v>40177</v>
      </c>
      <c r="B3712">
        <v>1.4338</v>
      </c>
    </row>
    <row r="3713" spans="1:2" x14ac:dyDescent="0.2">
      <c r="A3713" s="57">
        <v>40176</v>
      </c>
      <c r="B3713">
        <v>1.4433</v>
      </c>
    </row>
    <row r="3714" spans="1:2" x14ac:dyDescent="0.2">
      <c r="A3714" s="57">
        <v>40175</v>
      </c>
      <c r="B3714">
        <v>1.4404999999999999</v>
      </c>
    </row>
    <row r="3715" spans="1:2" x14ac:dyDescent="0.2">
      <c r="A3715" s="57">
        <v>40174</v>
      </c>
    </row>
    <row r="3716" spans="1:2" x14ac:dyDescent="0.2">
      <c r="A3716" s="57">
        <v>40173</v>
      </c>
    </row>
    <row r="3717" spans="1:2" x14ac:dyDescent="0.2">
      <c r="A3717" s="57">
        <v>40172</v>
      </c>
    </row>
    <row r="3718" spans="1:2" x14ac:dyDescent="0.2">
      <c r="A3718" s="57">
        <v>40171</v>
      </c>
      <c r="B3718">
        <v>1.4398</v>
      </c>
    </row>
    <row r="3719" spans="1:2" x14ac:dyDescent="0.2">
      <c r="A3719" s="57">
        <v>40170</v>
      </c>
      <c r="B3719">
        <v>1.4276</v>
      </c>
    </row>
    <row r="3720" spans="1:2" x14ac:dyDescent="0.2">
      <c r="A3720" s="57">
        <v>40169</v>
      </c>
      <c r="B3720">
        <v>1.4278999999999999</v>
      </c>
    </row>
    <row r="3721" spans="1:2" x14ac:dyDescent="0.2">
      <c r="A3721" s="57">
        <v>40168</v>
      </c>
      <c r="B3721">
        <v>1.4368000000000001</v>
      </c>
    </row>
    <row r="3722" spans="1:2" x14ac:dyDescent="0.2">
      <c r="A3722" s="57">
        <v>40167</v>
      </c>
    </row>
    <row r="3723" spans="1:2" x14ac:dyDescent="0.2">
      <c r="A3723" s="57">
        <v>40166</v>
      </c>
    </row>
    <row r="3724" spans="1:2" x14ac:dyDescent="0.2">
      <c r="A3724" s="57">
        <v>40165</v>
      </c>
      <c r="B3724">
        <v>1.4337</v>
      </c>
    </row>
    <row r="3725" spans="1:2" x14ac:dyDescent="0.2">
      <c r="A3725" s="57">
        <v>40164</v>
      </c>
      <c r="B3725">
        <v>1.4342999999999999</v>
      </c>
    </row>
    <row r="3726" spans="1:2" x14ac:dyDescent="0.2">
      <c r="A3726" s="57">
        <v>40163</v>
      </c>
      <c r="B3726">
        <v>1.456</v>
      </c>
    </row>
    <row r="3727" spans="1:2" x14ac:dyDescent="0.2">
      <c r="A3727" s="57">
        <v>40162</v>
      </c>
      <c r="B3727">
        <v>1.4540999999999999</v>
      </c>
    </row>
    <row r="3728" spans="1:2" x14ac:dyDescent="0.2">
      <c r="A3728" s="57">
        <v>40161</v>
      </c>
      <c r="B3728">
        <v>1.4646999999999999</v>
      </c>
    </row>
    <row r="3729" spans="1:2" x14ac:dyDescent="0.2">
      <c r="A3729" s="57">
        <v>40160</v>
      </c>
    </row>
    <row r="3730" spans="1:2" x14ac:dyDescent="0.2">
      <c r="A3730" s="57">
        <v>40159</v>
      </c>
    </row>
    <row r="3731" spans="1:2" x14ac:dyDescent="0.2">
      <c r="A3731" s="57">
        <v>40158</v>
      </c>
      <c r="B3731">
        <v>1.4757</v>
      </c>
    </row>
    <row r="3732" spans="1:2" x14ac:dyDescent="0.2">
      <c r="A3732" s="57">
        <v>40157</v>
      </c>
      <c r="B3732">
        <v>1.4730000000000001</v>
      </c>
    </row>
    <row r="3733" spans="1:2" x14ac:dyDescent="0.2">
      <c r="A3733" s="57">
        <v>40156</v>
      </c>
      <c r="B3733">
        <v>1.4767999999999999</v>
      </c>
    </row>
    <row r="3734" spans="1:2" x14ac:dyDescent="0.2">
      <c r="A3734" s="57">
        <v>40155</v>
      </c>
      <c r="B3734">
        <v>1.4774</v>
      </c>
    </row>
    <row r="3735" spans="1:2" x14ac:dyDescent="0.2">
      <c r="A3735" s="57">
        <v>40154</v>
      </c>
      <c r="B3735">
        <v>1.4786999999999999</v>
      </c>
    </row>
    <row r="3736" spans="1:2" x14ac:dyDescent="0.2">
      <c r="A3736" s="57">
        <v>40153</v>
      </c>
    </row>
    <row r="3737" spans="1:2" x14ac:dyDescent="0.2">
      <c r="A3737" s="57">
        <v>40152</v>
      </c>
    </row>
    <row r="3738" spans="1:2" x14ac:dyDescent="0.2">
      <c r="A3738" s="57">
        <v>40151</v>
      </c>
      <c r="B3738">
        <v>1.5067999999999999</v>
      </c>
    </row>
    <row r="3739" spans="1:2" x14ac:dyDescent="0.2">
      <c r="A3739" s="57">
        <v>40150</v>
      </c>
      <c r="B3739">
        <v>1.512</v>
      </c>
    </row>
    <row r="3740" spans="1:2" x14ac:dyDescent="0.2">
      <c r="A3740" s="57">
        <v>40149</v>
      </c>
      <c r="B3740">
        <v>1.5089999999999999</v>
      </c>
    </row>
    <row r="3741" spans="1:2" x14ac:dyDescent="0.2">
      <c r="A3741" s="57">
        <v>40148</v>
      </c>
      <c r="B3741">
        <v>1.5074000000000001</v>
      </c>
    </row>
    <row r="3742" spans="1:2" x14ac:dyDescent="0.2">
      <c r="A3742" s="57">
        <v>40147</v>
      </c>
      <c r="B3742">
        <v>1.5023</v>
      </c>
    </row>
    <row r="3743" spans="1:2" x14ac:dyDescent="0.2">
      <c r="A3743" s="57">
        <v>40146</v>
      </c>
    </row>
    <row r="3744" spans="1:2" x14ac:dyDescent="0.2">
      <c r="A3744" s="57">
        <v>40145</v>
      </c>
    </row>
    <row r="3745" spans="1:2" x14ac:dyDescent="0.2">
      <c r="A3745" s="57">
        <v>40144</v>
      </c>
      <c r="B3745">
        <v>1.4918</v>
      </c>
    </row>
    <row r="3746" spans="1:2" x14ac:dyDescent="0.2">
      <c r="A3746" s="57">
        <v>40143</v>
      </c>
      <c r="B3746">
        <v>1.5071000000000001</v>
      </c>
    </row>
    <row r="3747" spans="1:2" x14ac:dyDescent="0.2">
      <c r="A3747" s="57">
        <v>40142</v>
      </c>
      <c r="B3747">
        <v>1.5083</v>
      </c>
    </row>
    <row r="3748" spans="1:2" x14ac:dyDescent="0.2">
      <c r="A3748" s="57">
        <v>40141</v>
      </c>
      <c r="B3748">
        <v>1.4968999999999999</v>
      </c>
    </row>
    <row r="3749" spans="1:2" x14ac:dyDescent="0.2">
      <c r="A3749" s="57">
        <v>40140</v>
      </c>
      <c r="B3749">
        <v>1.4967999999999999</v>
      </c>
    </row>
    <row r="3750" spans="1:2" x14ac:dyDescent="0.2">
      <c r="A3750" s="57">
        <v>40139</v>
      </c>
    </row>
    <row r="3751" spans="1:2" x14ac:dyDescent="0.2">
      <c r="A3751" s="57">
        <v>40138</v>
      </c>
    </row>
    <row r="3752" spans="1:2" x14ac:dyDescent="0.2">
      <c r="A3752" s="57">
        <v>40137</v>
      </c>
      <c r="B3752">
        <v>1.4815</v>
      </c>
    </row>
    <row r="3753" spans="1:2" x14ac:dyDescent="0.2">
      <c r="A3753" s="57">
        <v>40136</v>
      </c>
      <c r="B3753">
        <v>1.4863</v>
      </c>
    </row>
    <row r="3754" spans="1:2" x14ac:dyDescent="0.2">
      <c r="A3754" s="57">
        <v>40135</v>
      </c>
      <c r="B3754">
        <v>1.4957</v>
      </c>
    </row>
    <row r="3755" spans="1:2" x14ac:dyDescent="0.2">
      <c r="A3755" s="57">
        <v>40134</v>
      </c>
      <c r="B3755">
        <v>1.4875</v>
      </c>
    </row>
    <row r="3756" spans="1:2" x14ac:dyDescent="0.2">
      <c r="A3756" s="57">
        <v>40133</v>
      </c>
      <c r="B3756">
        <v>1.4964999999999999</v>
      </c>
    </row>
    <row r="3757" spans="1:2" x14ac:dyDescent="0.2">
      <c r="A3757" s="57">
        <v>40132</v>
      </c>
    </row>
    <row r="3758" spans="1:2" x14ac:dyDescent="0.2">
      <c r="A3758" s="57">
        <v>40131</v>
      </c>
    </row>
    <row r="3759" spans="1:2" x14ac:dyDescent="0.2">
      <c r="A3759" s="57">
        <v>40130</v>
      </c>
      <c r="B3759">
        <v>1.4867999999999999</v>
      </c>
    </row>
    <row r="3760" spans="1:2" x14ac:dyDescent="0.2">
      <c r="A3760" s="57">
        <v>40129</v>
      </c>
      <c r="B3760">
        <v>1.4922</v>
      </c>
    </row>
    <row r="3761" spans="1:2" x14ac:dyDescent="0.2">
      <c r="A3761" s="57">
        <v>40128</v>
      </c>
      <c r="B3761">
        <v>1.5037</v>
      </c>
    </row>
    <row r="3762" spans="1:2" x14ac:dyDescent="0.2">
      <c r="A3762" s="57">
        <v>40127</v>
      </c>
      <c r="B3762">
        <v>1.4965999999999999</v>
      </c>
    </row>
    <row r="3763" spans="1:2" x14ac:dyDescent="0.2">
      <c r="A3763" s="57">
        <v>40126</v>
      </c>
      <c r="B3763">
        <v>1.4984</v>
      </c>
    </row>
    <row r="3764" spans="1:2" x14ac:dyDescent="0.2">
      <c r="A3764" s="57">
        <v>40125</v>
      </c>
    </row>
    <row r="3765" spans="1:2" x14ac:dyDescent="0.2">
      <c r="A3765" s="57">
        <v>40124</v>
      </c>
    </row>
    <row r="3766" spans="1:2" x14ac:dyDescent="0.2">
      <c r="A3766" s="57">
        <v>40123</v>
      </c>
      <c r="B3766">
        <v>1.4862</v>
      </c>
    </row>
    <row r="3767" spans="1:2" x14ac:dyDescent="0.2">
      <c r="A3767" s="57">
        <v>40122</v>
      </c>
      <c r="B3767">
        <v>1.4866999999999999</v>
      </c>
    </row>
    <row r="3768" spans="1:2" x14ac:dyDescent="0.2">
      <c r="A3768" s="57">
        <v>40121</v>
      </c>
      <c r="B3768">
        <v>1.4761</v>
      </c>
    </row>
    <row r="3769" spans="1:2" x14ac:dyDescent="0.2">
      <c r="A3769" s="57">
        <v>40120</v>
      </c>
      <c r="B3769">
        <v>1.4658</v>
      </c>
    </row>
    <row r="3770" spans="1:2" x14ac:dyDescent="0.2">
      <c r="A3770" s="57">
        <v>40119</v>
      </c>
      <c r="B3770">
        <v>1.4772000000000001</v>
      </c>
    </row>
    <row r="3771" spans="1:2" x14ac:dyDescent="0.2">
      <c r="A3771" s="57">
        <v>40118</v>
      </c>
    </row>
    <row r="3772" spans="1:2" x14ac:dyDescent="0.2">
      <c r="A3772" s="57">
        <v>40117</v>
      </c>
    </row>
    <row r="3773" spans="1:2" x14ac:dyDescent="0.2">
      <c r="A3773" s="57">
        <v>40116</v>
      </c>
      <c r="B3773">
        <v>1.48</v>
      </c>
    </row>
    <row r="3774" spans="1:2" x14ac:dyDescent="0.2">
      <c r="A3774" s="57">
        <v>40115</v>
      </c>
      <c r="B3774">
        <v>1.4787999999999999</v>
      </c>
    </row>
    <row r="3775" spans="1:2" x14ac:dyDescent="0.2">
      <c r="A3775" s="57">
        <v>40114</v>
      </c>
      <c r="B3775">
        <v>1.4784999999999999</v>
      </c>
    </row>
    <row r="3776" spans="1:2" x14ac:dyDescent="0.2">
      <c r="A3776" s="57">
        <v>40113</v>
      </c>
      <c r="B3776">
        <v>1.4874000000000001</v>
      </c>
    </row>
    <row r="3777" spans="1:2" x14ac:dyDescent="0.2">
      <c r="A3777" s="57">
        <v>40112</v>
      </c>
      <c r="B3777">
        <v>1.5019</v>
      </c>
    </row>
    <row r="3778" spans="1:2" x14ac:dyDescent="0.2">
      <c r="A3778" s="57">
        <v>40111</v>
      </c>
    </row>
    <row r="3779" spans="1:2" x14ac:dyDescent="0.2">
      <c r="A3779" s="57">
        <v>40110</v>
      </c>
    </row>
    <row r="3780" spans="1:2" x14ac:dyDescent="0.2">
      <c r="A3780" s="57">
        <v>40109</v>
      </c>
      <c r="B3780">
        <v>1.502</v>
      </c>
    </row>
    <row r="3781" spans="1:2" x14ac:dyDescent="0.2">
      <c r="A3781" s="57">
        <v>40108</v>
      </c>
      <c r="B3781">
        <v>1.5</v>
      </c>
    </row>
    <row r="3782" spans="1:2" x14ac:dyDescent="0.2">
      <c r="A3782" s="57">
        <v>40107</v>
      </c>
      <c r="B3782">
        <v>1.4921</v>
      </c>
    </row>
    <row r="3783" spans="1:2" x14ac:dyDescent="0.2">
      <c r="A3783" s="57">
        <v>40106</v>
      </c>
      <c r="B3783">
        <v>1.4971000000000001</v>
      </c>
    </row>
    <row r="3784" spans="1:2" x14ac:dyDescent="0.2">
      <c r="A3784" s="57">
        <v>40105</v>
      </c>
      <c r="B3784">
        <v>1.4918</v>
      </c>
    </row>
    <row r="3785" spans="1:2" x14ac:dyDescent="0.2">
      <c r="A3785" s="57">
        <v>40104</v>
      </c>
    </row>
    <row r="3786" spans="1:2" x14ac:dyDescent="0.2">
      <c r="A3786" s="57">
        <v>40103</v>
      </c>
    </row>
    <row r="3787" spans="1:2" x14ac:dyDescent="0.2">
      <c r="A3787" s="57">
        <v>40102</v>
      </c>
      <c r="B3787">
        <v>1.4869000000000001</v>
      </c>
    </row>
    <row r="3788" spans="1:2" x14ac:dyDescent="0.2">
      <c r="A3788" s="57">
        <v>40101</v>
      </c>
      <c r="B3788">
        <v>1.4863999999999999</v>
      </c>
    </row>
    <row r="3789" spans="1:2" x14ac:dyDescent="0.2">
      <c r="A3789" s="57">
        <v>40100</v>
      </c>
      <c r="B3789">
        <v>1.4881</v>
      </c>
    </row>
    <row r="3790" spans="1:2" x14ac:dyDescent="0.2">
      <c r="A3790" s="57">
        <v>40099</v>
      </c>
      <c r="B3790">
        <v>1.4863999999999999</v>
      </c>
    </row>
    <row r="3791" spans="1:2" x14ac:dyDescent="0.2">
      <c r="A3791" s="57">
        <v>40098</v>
      </c>
      <c r="B3791">
        <v>1.4764999999999999</v>
      </c>
    </row>
    <row r="3792" spans="1:2" x14ac:dyDescent="0.2">
      <c r="A3792" s="57">
        <v>40097</v>
      </c>
    </row>
    <row r="3793" spans="1:2" x14ac:dyDescent="0.2">
      <c r="A3793" s="57">
        <v>40096</v>
      </c>
    </row>
    <row r="3794" spans="1:2" x14ac:dyDescent="0.2">
      <c r="A3794" s="57">
        <v>40095</v>
      </c>
      <c r="B3794">
        <v>1.4750000000000001</v>
      </c>
    </row>
    <row r="3795" spans="1:2" x14ac:dyDescent="0.2">
      <c r="A3795" s="57">
        <v>40094</v>
      </c>
      <c r="B3795">
        <v>1.4762999999999999</v>
      </c>
    </row>
    <row r="3796" spans="1:2" x14ac:dyDescent="0.2">
      <c r="A3796" s="57">
        <v>40093</v>
      </c>
      <c r="B3796">
        <v>1.4694</v>
      </c>
    </row>
    <row r="3797" spans="1:2" x14ac:dyDescent="0.2">
      <c r="A3797" s="57">
        <v>40092</v>
      </c>
      <c r="B3797">
        <v>1.4722</v>
      </c>
    </row>
    <row r="3798" spans="1:2" x14ac:dyDescent="0.2">
      <c r="A3798" s="57">
        <v>40091</v>
      </c>
      <c r="B3798">
        <v>1.4616</v>
      </c>
    </row>
    <row r="3799" spans="1:2" x14ac:dyDescent="0.2">
      <c r="A3799" s="57">
        <v>40090</v>
      </c>
    </row>
    <row r="3800" spans="1:2" x14ac:dyDescent="0.2">
      <c r="A3800" s="57">
        <v>40089</v>
      </c>
    </row>
    <row r="3801" spans="1:2" x14ac:dyDescent="0.2">
      <c r="A3801" s="57">
        <v>40088</v>
      </c>
      <c r="B3801">
        <v>1.4537</v>
      </c>
    </row>
    <row r="3802" spans="1:2" x14ac:dyDescent="0.2">
      <c r="A3802" s="57">
        <v>40087</v>
      </c>
      <c r="B3802">
        <v>1.4539</v>
      </c>
    </row>
    <row r="3803" spans="1:2" x14ac:dyDescent="0.2">
      <c r="A3803" s="57">
        <v>40086</v>
      </c>
      <c r="B3803">
        <v>1.4642999999999999</v>
      </c>
    </row>
    <row r="3804" spans="1:2" x14ac:dyDescent="0.2">
      <c r="A3804" s="57">
        <v>40085</v>
      </c>
      <c r="B3804">
        <v>1.4549000000000001</v>
      </c>
    </row>
    <row r="3805" spans="1:2" x14ac:dyDescent="0.2">
      <c r="A3805" s="57">
        <v>40084</v>
      </c>
      <c r="B3805">
        <v>1.4650000000000001</v>
      </c>
    </row>
    <row r="3806" spans="1:2" x14ac:dyDescent="0.2">
      <c r="A3806" s="57">
        <v>40083</v>
      </c>
    </row>
    <row r="3807" spans="1:2" x14ac:dyDescent="0.2">
      <c r="A3807" s="57">
        <v>40082</v>
      </c>
    </row>
    <row r="3808" spans="1:2" x14ac:dyDescent="0.2">
      <c r="A3808" s="57">
        <v>40081</v>
      </c>
      <c r="B3808">
        <v>1.4670000000000001</v>
      </c>
    </row>
    <row r="3809" spans="1:2" x14ac:dyDescent="0.2">
      <c r="A3809" s="57">
        <v>40080</v>
      </c>
      <c r="B3809">
        <v>1.4767999999999999</v>
      </c>
    </row>
    <row r="3810" spans="1:2" x14ac:dyDescent="0.2">
      <c r="A3810" s="57">
        <v>40079</v>
      </c>
      <c r="B3810">
        <v>1.4782999999999999</v>
      </c>
    </row>
    <row r="3811" spans="1:2" x14ac:dyDescent="0.2">
      <c r="A3811" s="57">
        <v>40078</v>
      </c>
      <c r="B3811">
        <v>1.478</v>
      </c>
    </row>
    <row r="3812" spans="1:2" x14ac:dyDescent="0.2">
      <c r="A3812" s="57">
        <v>40077</v>
      </c>
      <c r="B3812">
        <v>1.4658</v>
      </c>
    </row>
    <row r="3813" spans="1:2" x14ac:dyDescent="0.2">
      <c r="A3813" s="57">
        <v>40076</v>
      </c>
    </row>
    <row r="3814" spans="1:2" x14ac:dyDescent="0.2">
      <c r="A3814" s="57">
        <v>40075</v>
      </c>
    </row>
    <row r="3815" spans="1:2" x14ac:dyDescent="0.2">
      <c r="A3815" s="57">
        <v>40074</v>
      </c>
      <c r="B3815">
        <v>1.4704999999999999</v>
      </c>
    </row>
    <row r="3816" spans="1:2" x14ac:dyDescent="0.2">
      <c r="A3816" s="57">
        <v>40073</v>
      </c>
      <c r="B3816">
        <v>1.4712000000000001</v>
      </c>
    </row>
    <row r="3817" spans="1:2" x14ac:dyDescent="0.2">
      <c r="A3817" s="57">
        <v>40072</v>
      </c>
      <c r="B3817">
        <v>1.4671000000000001</v>
      </c>
    </row>
    <row r="3818" spans="1:2" x14ac:dyDescent="0.2">
      <c r="A3818" s="57">
        <v>40071</v>
      </c>
      <c r="B3818">
        <v>1.4611000000000001</v>
      </c>
    </row>
    <row r="3819" spans="1:2" x14ac:dyDescent="0.2">
      <c r="A3819" s="57">
        <v>40070</v>
      </c>
      <c r="B3819">
        <v>1.4560999999999999</v>
      </c>
    </row>
    <row r="3820" spans="1:2" x14ac:dyDescent="0.2">
      <c r="A3820" s="57">
        <v>40069</v>
      </c>
    </row>
    <row r="3821" spans="1:2" x14ac:dyDescent="0.2">
      <c r="A3821" s="57">
        <v>40068</v>
      </c>
    </row>
    <row r="3822" spans="1:2" x14ac:dyDescent="0.2">
      <c r="A3822" s="57">
        <v>40067</v>
      </c>
      <c r="B3822">
        <v>1.4594</v>
      </c>
    </row>
    <row r="3823" spans="1:2" x14ac:dyDescent="0.2">
      <c r="A3823" s="57">
        <v>40066</v>
      </c>
      <c r="B3823">
        <v>1.4544999999999999</v>
      </c>
    </row>
    <row r="3824" spans="1:2" x14ac:dyDescent="0.2">
      <c r="A3824" s="57">
        <v>40065</v>
      </c>
      <c r="B3824">
        <v>1.4521999999999999</v>
      </c>
    </row>
    <row r="3825" spans="1:2" x14ac:dyDescent="0.2">
      <c r="A3825" s="57">
        <v>40064</v>
      </c>
      <c r="B3825">
        <v>1.4473</v>
      </c>
    </row>
    <row r="3826" spans="1:2" x14ac:dyDescent="0.2">
      <c r="A3826" s="57">
        <v>40063</v>
      </c>
      <c r="B3826">
        <v>1.4330000000000001</v>
      </c>
    </row>
    <row r="3827" spans="1:2" x14ac:dyDescent="0.2">
      <c r="A3827" s="57">
        <v>40062</v>
      </c>
    </row>
    <row r="3828" spans="1:2" x14ac:dyDescent="0.2">
      <c r="A3828" s="57">
        <v>40061</v>
      </c>
    </row>
    <row r="3829" spans="1:2" x14ac:dyDescent="0.2">
      <c r="A3829" s="57">
        <v>40060</v>
      </c>
      <c r="B3829">
        <v>1.4261999999999999</v>
      </c>
    </row>
    <row r="3830" spans="1:2" x14ac:dyDescent="0.2">
      <c r="A3830" s="57">
        <v>40059</v>
      </c>
      <c r="B3830">
        <v>1.4335</v>
      </c>
    </row>
    <row r="3831" spans="1:2" x14ac:dyDescent="0.2">
      <c r="A3831" s="57">
        <v>40058</v>
      </c>
      <c r="B3831">
        <v>1.4219999999999999</v>
      </c>
    </row>
    <row r="3832" spans="1:2" x14ac:dyDescent="0.2">
      <c r="A3832" s="57">
        <v>40057</v>
      </c>
      <c r="B3832">
        <v>1.4314</v>
      </c>
    </row>
    <row r="3833" spans="1:2" x14ac:dyDescent="0.2">
      <c r="A3833" s="57">
        <v>40056</v>
      </c>
      <c r="B3833">
        <v>1.4272</v>
      </c>
    </row>
    <row r="3834" spans="1:2" x14ac:dyDescent="0.2">
      <c r="A3834" s="57">
        <v>40055</v>
      </c>
    </row>
    <row r="3835" spans="1:2" x14ac:dyDescent="0.2">
      <c r="A3835" s="57">
        <v>40054</v>
      </c>
    </row>
    <row r="3836" spans="1:2" x14ac:dyDescent="0.2">
      <c r="A3836" s="57">
        <v>40053</v>
      </c>
      <c r="B3836">
        <v>1.4363999999999999</v>
      </c>
    </row>
    <row r="3837" spans="1:2" x14ac:dyDescent="0.2">
      <c r="A3837" s="57">
        <v>40052</v>
      </c>
      <c r="B3837">
        <v>1.4268000000000001</v>
      </c>
    </row>
    <row r="3838" spans="1:2" x14ac:dyDescent="0.2">
      <c r="A3838" s="57">
        <v>40051</v>
      </c>
      <c r="B3838">
        <v>1.427</v>
      </c>
    </row>
    <row r="3839" spans="1:2" x14ac:dyDescent="0.2">
      <c r="A3839" s="57">
        <v>40050</v>
      </c>
      <c r="B3839">
        <v>1.4323999999999999</v>
      </c>
    </row>
    <row r="3840" spans="1:2" x14ac:dyDescent="0.2">
      <c r="A3840" s="57">
        <v>40049</v>
      </c>
      <c r="B3840">
        <v>1.4322999999999999</v>
      </c>
    </row>
    <row r="3841" spans="1:2" x14ac:dyDescent="0.2">
      <c r="A3841" s="57">
        <v>40048</v>
      </c>
    </row>
    <row r="3842" spans="1:2" x14ac:dyDescent="0.2">
      <c r="A3842" s="57">
        <v>40047</v>
      </c>
    </row>
    <row r="3843" spans="1:2" x14ac:dyDescent="0.2">
      <c r="A3843" s="57">
        <v>40046</v>
      </c>
      <c r="B3843">
        <v>1.4330000000000001</v>
      </c>
    </row>
    <row r="3844" spans="1:2" x14ac:dyDescent="0.2">
      <c r="A3844" s="57">
        <v>40045</v>
      </c>
      <c r="B3844">
        <v>1.4242999999999999</v>
      </c>
    </row>
    <row r="3845" spans="1:2" x14ac:dyDescent="0.2">
      <c r="A3845" s="57">
        <v>40044</v>
      </c>
      <c r="B3845">
        <v>1.4112</v>
      </c>
    </row>
    <row r="3846" spans="1:2" x14ac:dyDescent="0.2">
      <c r="A3846" s="57">
        <v>40043</v>
      </c>
      <c r="B3846">
        <v>1.4100999999999999</v>
      </c>
    </row>
    <row r="3847" spans="1:2" x14ac:dyDescent="0.2">
      <c r="A3847" s="57">
        <v>40042</v>
      </c>
      <c r="B3847">
        <v>1.4072</v>
      </c>
    </row>
    <row r="3848" spans="1:2" x14ac:dyDescent="0.2">
      <c r="A3848" s="57">
        <v>40041</v>
      </c>
    </row>
    <row r="3849" spans="1:2" x14ac:dyDescent="0.2">
      <c r="A3849" s="57">
        <v>40040</v>
      </c>
    </row>
    <row r="3850" spans="1:2" x14ac:dyDescent="0.2">
      <c r="A3850" s="57">
        <v>40039</v>
      </c>
      <c r="B3850">
        <v>1.4294</v>
      </c>
    </row>
    <row r="3851" spans="1:2" x14ac:dyDescent="0.2">
      <c r="A3851" s="57">
        <v>40038</v>
      </c>
      <c r="B3851">
        <v>1.4293</v>
      </c>
    </row>
    <row r="3852" spans="1:2" x14ac:dyDescent="0.2">
      <c r="A3852" s="57">
        <v>40037</v>
      </c>
      <c r="B3852">
        <v>1.417</v>
      </c>
    </row>
    <row r="3853" spans="1:2" x14ac:dyDescent="0.2">
      <c r="A3853" s="57">
        <v>40036</v>
      </c>
      <c r="B3853">
        <v>1.4166000000000001</v>
      </c>
    </row>
    <row r="3854" spans="1:2" x14ac:dyDescent="0.2">
      <c r="A3854" s="57">
        <v>40035</v>
      </c>
      <c r="B3854">
        <v>1.4201999999999999</v>
      </c>
    </row>
    <row r="3855" spans="1:2" x14ac:dyDescent="0.2">
      <c r="A3855" s="57">
        <v>40034</v>
      </c>
    </row>
    <row r="3856" spans="1:2" x14ac:dyDescent="0.2">
      <c r="A3856" s="57">
        <v>40033</v>
      </c>
    </row>
    <row r="3857" spans="1:2" x14ac:dyDescent="0.2">
      <c r="A3857" s="57">
        <v>40032</v>
      </c>
      <c r="B3857">
        <v>1.4357</v>
      </c>
    </row>
    <row r="3858" spans="1:2" x14ac:dyDescent="0.2">
      <c r="A3858" s="57">
        <v>40031</v>
      </c>
      <c r="B3858">
        <v>1.4370000000000001</v>
      </c>
    </row>
    <row r="3859" spans="1:2" x14ac:dyDescent="0.2">
      <c r="A3859" s="57">
        <v>40030</v>
      </c>
      <c r="B3859">
        <v>1.4410000000000001</v>
      </c>
    </row>
    <row r="3860" spans="1:2" x14ac:dyDescent="0.2">
      <c r="A3860" s="57">
        <v>40029</v>
      </c>
      <c r="B3860">
        <v>1.4383999999999999</v>
      </c>
    </row>
    <row r="3861" spans="1:2" x14ac:dyDescent="0.2">
      <c r="A3861" s="57">
        <v>40028</v>
      </c>
      <c r="B3861">
        <v>1.4302999999999999</v>
      </c>
    </row>
    <row r="3862" spans="1:2" x14ac:dyDescent="0.2">
      <c r="A3862" s="57">
        <v>40027</v>
      </c>
    </row>
    <row r="3863" spans="1:2" x14ac:dyDescent="0.2">
      <c r="A3863" s="57">
        <v>40026</v>
      </c>
    </row>
    <row r="3864" spans="1:2" x14ac:dyDescent="0.2">
      <c r="A3864" s="57">
        <v>40025</v>
      </c>
      <c r="B3864">
        <v>1.4137999999999999</v>
      </c>
    </row>
    <row r="3865" spans="1:2" x14ac:dyDescent="0.2">
      <c r="A3865" s="57">
        <v>40024</v>
      </c>
      <c r="B3865">
        <v>1.4053</v>
      </c>
    </row>
    <row r="3866" spans="1:2" x14ac:dyDescent="0.2">
      <c r="A3866" s="57">
        <v>40023</v>
      </c>
      <c r="B3866">
        <v>1.4104000000000001</v>
      </c>
    </row>
    <row r="3867" spans="1:2" x14ac:dyDescent="0.2">
      <c r="A3867" s="57">
        <v>40022</v>
      </c>
      <c r="B3867">
        <v>1.4229000000000001</v>
      </c>
    </row>
    <row r="3868" spans="1:2" x14ac:dyDescent="0.2">
      <c r="A3868" s="57">
        <v>40021</v>
      </c>
      <c r="B3868">
        <v>1.4269000000000001</v>
      </c>
    </row>
    <row r="3869" spans="1:2" x14ac:dyDescent="0.2">
      <c r="A3869" s="57">
        <v>40020</v>
      </c>
    </row>
    <row r="3870" spans="1:2" x14ac:dyDescent="0.2">
      <c r="A3870" s="57">
        <v>40019</v>
      </c>
    </row>
    <row r="3871" spans="1:2" x14ac:dyDescent="0.2">
      <c r="A3871" s="57">
        <v>40018</v>
      </c>
      <c r="B3871">
        <v>1.4227000000000001</v>
      </c>
    </row>
    <row r="3872" spans="1:2" x14ac:dyDescent="0.2">
      <c r="A3872" s="57">
        <v>40017</v>
      </c>
      <c r="B3872">
        <v>1.4229000000000001</v>
      </c>
    </row>
    <row r="3873" spans="1:2" x14ac:dyDescent="0.2">
      <c r="A3873" s="57">
        <v>40016</v>
      </c>
      <c r="B3873">
        <v>1.4191</v>
      </c>
    </row>
    <row r="3874" spans="1:2" x14ac:dyDescent="0.2">
      <c r="A3874" s="57">
        <v>40015</v>
      </c>
      <c r="B3874">
        <v>1.4222999999999999</v>
      </c>
    </row>
    <row r="3875" spans="1:2" x14ac:dyDescent="0.2">
      <c r="A3875" s="57">
        <v>40014</v>
      </c>
      <c r="B3875">
        <v>1.4217</v>
      </c>
    </row>
    <row r="3876" spans="1:2" x14ac:dyDescent="0.2">
      <c r="A3876" s="57">
        <v>40013</v>
      </c>
    </row>
    <row r="3877" spans="1:2" x14ac:dyDescent="0.2">
      <c r="A3877" s="57">
        <v>40012</v>
      </c>
    </row>
    <row r="3878" spans="1:2" x14ac:dyDescent="0.2">
      <c r="A3878" s="57">
        <v>40011</v>
      </c>
      <c r="B3878">
        <v>1.409</v>
      </c>
    </row>
    <row r="3879" spans="1:2" x14ac:dyDescent="0.2">
      <c r="A3879" s="57">
        <v>40010</v>
      </c>
      <c r="B3879">
        <v>1.413</v>
      </c>
    </row>
    <row r="3880" spans="1:2" x14ac:dyDescent="0.2">
      <c r="A3880" s="57">
        <v>40009</v>
      </c>
      <c r="B3880">
        <v>1.4089</v>
      </c>
    </row>
    <row r="3881" spans="1:2" x14ac:dyDescent="0.2">
      <c r="A3881" s="57">
        <v>40008</v>
      </c>
      <c r="B3881">
        <v>1.3991</v>
      </c>
    </row>
    <row r="3882" spans="1:2" x14ac:dyDescent="0.2">
      <c r="A3882" s="57">
        <v>40007</v>
      </c>
      <c r="B3882">
        <v>1.3975</v>
      </c>
    </row>
    <row r="3883" spans="1:2" x14ac:dyDescent="0.2">
      <c r="A3883" s="57">
        <v>40006</v>
      </c>
    </row>
    <row r="3884" spans="1:2" x14ac:dyDescent="0.2">
      <c r="A3884" s="57">
        <v>40005</v>
      </c>
    </row>
    <row r="3885" spans="1:2" x14ac:dyDescent="0.2">
      <c r="A3885" s="57">
        <v>40004</v>
      </c>
      <c r="B3885">
        <v>1.3900999999999999</v>
      </c>
    </row>
    <row r="3886" spans="1:2" x14ac:dyDescent="0.2">
      <c r="A3886" s="57">
        <v>40003</v>
      </c>
      <c r="B3886">
        <v>1.399</v>
      </c>
    </row>
    <row r="3887" spans="1:2" x14ac:dyDescent="0.2">
      <c r="A3887" s="57">
        <v>40002</v>
      </c>
      <c r="B3887">
        <v>1.3900999999999999</v>
      </c>
    </row>
    <row r="3888" spans="1:2" x14ac:dyDescent="0.2">
      <c r="A3888" s="57">
        <v>40001</v>
      </c>
      <c r="B3888">
        <v>1.4018999999999999</v>
      </c>
    </row>
    <row r="3889" spans="1:2" x14ac:dyDescent="0.2">
      <c r="A3889" s="57">
        <v>40000</v>
      </c>
      <c r="B3889">
        <v>1.3896999999999999</v>
      </c>
    </row>
    <row r="3890" spans="1:2" x14ac:dyDescent="0.2">
      <c r="A3890" s="57">
        <v>39999</v>
      </c>
    </row>
    <row r="3891" spans="1:2" x14ac:dyDescent="0.2">
      <c r="A3891" s="57">
        <v>39998</v>
      </c>
    </row>
    <row r="3892" spans="1:2" x14ac:dyDescent="0.2">
      <c r="A3892" s="57">
        <v>39997</v>
      </c>
      <c r="B3892">
        <v>1.4009</v>
      </c>
    </row>
    <row r="3893" spans="1:2" x14ac:dyDescent="0.2">
      <c r="A3893" s="57">
        <v>39996</v>
      </c>
      <c r="B3893">
        <v>1.4049</v>
      </c>
    </row>
    <row r="3894" spans="1:2" x14ac:dyDescent="0.2">
      <c r="A3894" s="57">
        <v>39995</v>
      </c>
      <c r="B3894">
        <v>1.4096</v>
      </c>
    </row>
    <row r="3895" spans="1:2" x14ac:dyDescent="0.2">
      <c r="A3895" s="57">
        <v>39994</v>
      </c>
      <c r="B3895">
        <v>1.4134</v>
      </c>
    </row>
    <row r="3896" spans="1:2" x14ac:dyDescent="0.2">
      <c r="A3896" s="57">
        <v>39993</v>
      </c>
      <c r="B3896">
        <v>1.4057999999999999</v>
      </c>
    </row>
    <row r="3897" spans="1:2" x14ac:dyDescent="0.2">
      <c r="A3897" s="57">
        <v>39992</v>
      </c>
    </row>
    <row r="3898" spans="1:2" x14ac:dyDescent="0.2">
      <c r="A3898" s="57">
        <v>39991</v>
      </c>
    </row>
    <row r="3899" spans="1:2" x14ac:dyDescent="0.2">
      <c r="A3899" s="57">
        <v>39990</v>
      </c>
      <c r="B3899">
        <v>1.4096</v>
      </c>
    </row>
    <row r="3900" spans="1:2" x14ac:dyDescent="0.2">
      <c r="A3900" s="57">
        <v>39989</v>
      </c>
      <c r="B3900">
        <v>1.3939999999999999</v>
      </c>
    </row>
    <row r="3901" spans="1:2" x14ac:dyDescent="0.2">
      <c r="A3901" s="57">
        <v>39988</v>
      </c>
      <c r="B3901">
        <v>1.4029</v>
      </c>
    </row>
    <row r="3902" spans="1:2" x14ac:dyDescent="0.2">
      <c r="A3902" s="57">
        <v>39987</v>
      </c>
      <c r="B3902">
        <v>1.3977999999999999</v>
      </c>
    </row>
    <row r="3903" spans="1:2" x14ac:dyDescent="0.2">
      <c r="A3903" s="57">
        <v>39986</v>
      </c>
      <c r="B3903">
        <v>1.3857999999999999</v>
      </c>
    </row>
    <row r="3904" spans="1:2" x14ac:dyDescent="0.2">
      <c r="A3904" s="57">
        <v>39985</v>
      </c>
    </row>
    <row r="3905" spans="1:2" x14ac:dyDescent="0.2">
      <c r="A3905" s="57">
        <v>39984</v>
      </c>
    </row>
    <row r="3906" spans="1:2" x14ac:dyDescent="0.2">
      <c r="A3906" s="57">
        <v>39983</v>
      </c>
      <c r="B3906">
        <v>1.3932</v>
      </c>
    </row>
    <row r="3907" spans="1:2" x14ac:dyDescent="0.2">
      <c r="A3907" s="57">
        <v>39982</v>
      </c>
      <c r="B3907">
        <v>1.3919999999999999</v>
      </c>
    </row>
    <row r="3908" spans="1:2" x14ac:dyDescent="0.2">
      <c r="A3908" s="57">
        <v>39981</v>
      </c>
      <c r="B3908">
        <v>1.3839999999999999</v>
      </c>
    </row>
    <row r="3909" spans="1:2" x14ac:dyDescent="0.2">
      <c r="A3909" s="57">
        <v>39980</v>
      </c>
      <c r="B3909">
        <v>1.389</v>
      </c>
    </row>
    <row r="3910" spans="1:2" x14ac:dyDescent="0.2">
      <c r="A3910" s="57">
        <v>39979</v>
      </c>
      <c r="B3910">
        <v>1.385</v>
      </c>
    </row>
    <row r="3911" spans="1:2" x14ac:dyDescent="0.2">
      <c r="A3911" s="57">
        <v>39978</v>
      </c>
    </row>
    <row r="3912" spans="1:2" x14ac:dyDescent="0.2">
      <c r="A3912" s="57">
        <v>39977</v>
      </c>
    </row>
    <row r="3913" spans="1:2" x14ac:dyDescent="0.2">
      <c r="A3913" s="57">
        <v>39976</v>
      </c>
      <c r="B3913">
        <v>1.4004000000000001</v>
      </c>
    </row>
    <row r="3914" spans="1:2" x14ac:dyDescent="0.2">
      <c r="A3914" s="57">
        <v>39975</v>
      </c>
      <c r="B3914">
        <v>1.3969</v>
      </c>
    </row>
    <row r="3915" spans="1:2" x14ac:dyDescent="0.2">
      <c r="A3915" s="57">
        <v>39974</v>
      </c>
      <c r="B3915">
        <v>1.4101999999999999</v>
      </c>
    </row>
    <row r="3916" spans="1:2" x14ac:dyDescent="0.2">
      <c r="A3916" s="57">
        <v>39973</v>
      </c>
      <c r="B3916">
        <v>1.3958999999999999</v>
      </c>
    </row>
    <row r="3917" spans="1:2" x14ac:dyDescent="0.2">
      <c r="A3917" s="57">
        <v>39972</v>
      </c>
      <c r="B3917">
        <v>1.3866000000000001</v>
      </c>
    </row>
    <row r="3918" spans="1:2" x14ac:dyDescent="0.2">
      <c r="A3918" s="57">
        <v>39971</v>
      </c>
    </row>
    <row r="3919" spans="1:2" x14ac:dyDescent="0.2">
      <c r="A3919" s="57">
        <v>39970</v>
      </c>
    </row>
    <row r="3920" spans="1:2" x14ac:dyDescent="0.2">
      <c r="A3920" s="57">
        <v>39969</v>
      </c>
      <c r="B3920">
        <v>1.4177</v>
      </c>
    </row>
    <row r="3921" spans="1:2" x14ac:dyDescent="0.2">
      <c r="A3921" s="57">
        <v>39968</v>
      </c>
      <c r="B3921">
        <v>1.4095</v>
      </c>
    </row>
    <row r="3922" spans="1:2" x14ac:dyDescent="0.2">
      <c r="A3922" s="57">
        <v>39967</v>
      </c>
      <c r="B3922">
        <v>1.4207000000000001</v>
      </c>
    </row>
    <row r="3923" spans="1:2" x14ac:dyDescent="0.2">
      <c r="A3923" s="57">
        <v>39966</v>
      </c>
      <c r="B3923">
        <v>1.4238</v>
      </c>
    </row>
    <row r="3924" spans="1:2" x14ac:dyDescent="0.2">
      <c r="A3924" s="57">
        <v>39965</v>
      </c>
      <c r="B3924">
        <v>1.4219999999999999</v>
      </c>
    </row>
    <row r="3925" spans="1:2" x14ac:dyDescent="0.2">
      <c r="A3925" s="57">
        <v>39964</v>
      </c>
    </row>
    <row r="3926" spans="1:2" x14ac:dyDescent="0.2">
      <c r="A3926" s="57">
        <v>39963</v>
      </c>
    </row>
    <row r="3927" spans="1:2" x14ac:dyDescent="0.2">
      <c r="A3927" s="57">
        <v>39962</v>
      </c>
      <c r="B3927">
        <v>1.4097999999999999</v>
      </c>
    </row>
    <row r="3928" spans="1:2" x14ac:dyDescent="0.2">
      <c r="A3928" s="57">
        <v>39961</v>
      </c>
      <c r="B3928">
        <v>1.3855999999999999</v>
      </c>
    </row>
    <row r="3929" spans="1:2" x14ac:dyDescent="0.2">
      <c r="A3929" s="57">
        <v>39960</v>
      </c>
      <c r="B3929">
        <v>1.3900999999999999</v>
      </c>
    </row>
    <row r="3930" spans="1:2" x14ac:dyDescent="0.2">
      <c r="A3930" s="57">
        <v>39959</v>
      </c>
      <c r="B3930">
        <v>1.3908</v>
      </c>
    </row>
    <row r="3931" spans="1:2" x14ac:dyDescent="0.2">
      <c r="A3931" s="57">
        <v>39958</v>
      </c>
      <c r="B3931">
        <v>1.401</v>
      </c>
    </row>
    <row r="3932" spans="1:2" x14ac:dyDescent="0.2">
      <c r="A3932" s="57">
        <v>39957</v>
      </c>
    </row>
    <row r="3933" spans="1:2" x14ac:dyDescent="0.2">
      <c r="A3933" s="57">
        <v>39956</v>
      </c>
    </row>
    <row r="3934" spans="1:2" x14ac:dyDescent="0.2">
      <c r="A3934" s="57">
        <v>39955</v>
      </c>
      <c r="B3934">
        <v>1.3972</v>
      </c>
    </row>
    <row r="3935" spans="1:2" x14ac:dyDescent="0.2">
      <c r="A3935" s="57">
        <v>39954</v>
      </c>
      <c r="B3935">
        <v>1.3771</v>
      </c>
    </row>
    <row r="3936" spans="1:2" x14ac:dyDescent="0.2">
      <c r="A3936" s="57">
        <v>39953</v>
      </c>
      <c r="B3936">
        <v>1.369</v>
      </c>
    </row>
    <row r="3937" spans="1:2" x14ac:dyDescent="0.2">
      <c r="A3937" s="57">
        <v>39952</v>
      </c>
      <c r="B3937">
        <v>1.3612</v>
      </c>
    </row>
    <row r="3938" spans="1:2" x14ac:dyDescent="0.2">
      <c r="A3938" s="57">
        <v>39951</v>
      </c>
      <c r="B3938">
        <v>1.3493999999999999</v>
      </c>
    </row>
    <row r="3939" spans="1:2" x14ac:dyDescent="0.2">
      <c r="A3939" s="57">
        <v>39950</v>
      </c>
    </row>
    <row r="3940" spans="1:2" x14ac:dyDescent="0.2">
      <c r="A3940" s="57">
        <v>39949</v>
      </c>
    </row>
    <row r="3941" spans="1:2" x14ac:dyDescent="0.2">
      <c r="A3941" s="57">
        <v>39948</v>
      </c>
      <c r="B3941">
        <v>1.3517999999999999</v>
      </c>
    </row>
    <row r="3942" spans="1:2" x14ac:dyDescent="0.2">
      <c r="A3942" s="57">
        <v>39947</v>
      </c>
      <c r="B3942">
        <v>1.3563000000000001</v>
      </c>
    </row>
    <row r="3943" spans="1:2" x14ac:dyDescent="0.2">
      <c r="A3943" s="57">
        <v>39946</v>
      </c>
      <c r="B3943">
        <v>1.3623000000000001</v>
      </c>
    </row>
    <row r="3944" spans="1:2" x14ac:dyDescent="0.2">
      <c r="A3944" s="57">
        <v>39945</v>
      </c>
      <c r="B3944">
        <v>1.3683000000000001</v>
      </c>
    </row>
    <row r="3945" spans="1:2" x14ac:dyDescent="0.2">
      <c r="A3945" s="57">
        <v>39944</v>
      </c>
      <c r="B3945">
        <v>1.3573999999999999</v>
      </c>
    </row>
    <row r="3946" spans="1:2" x14ac:dyDescent="0.2">
      <c r="A3946" s="57">
        <v>39943</v>
      </c>
    </row>
    <row r="3947" spans="1:2" x14ac:dyDescent="0.2">
      <c r="A3947" s="57">
        <v>39942</v>
      </c>
    </row>
    <row r="3948" spans="1:2" x14ac:dyDescent="0.2">
      <c r="A3948" s="57">
        <v>39941</v>
      </c>
      <c r="B3948">
        <v>1.3425</v>
      </c>
    </row>
    <row r="3949" spans="1:2" x14ac:dyDescent="0.2">
      <c r="A3949" s="57">
        <v>39940</v>
      </c>
      <c r="B3949">
        <v>1.3363</v>
      </c>
    </row>
    <row r="3950" spans="1:2" x14ac:dyDescent="0.2">
      <c r="A3950" s="57">
        <v>39939</v>
      </c>
      <c r="B3950">
        <v>1.3322000000000001</v>
      </c>
    </row>
    <row r="3951" spans="1:2" x14ac:dyDescent="0.2">
      <c r="A3951" s="57">
        <v>39938</v>
      </c>
      <c r="B3951">
        <v>1.3403</v>
      </c>
    </row>
    <row r="3952" spans="1:2" x14ac:dyDescent="0.2">
      <c r="A3952" s="57">
        <v>39937</v>
      </c>
      <c r="B3952">
        <v>1.3223</v>
      </c>
    </row>
    <row r="3953" spans="1:2" x14ac:dyDescent="0.2">
      <c r="A3953" s="57">
        <v>39936</v>
      </c>
    </row>
    <row r="3954" spans="1:2" x14ac:dyDescent="0.2">
      <c r="A3954" s="57">
        <v>39935</v>
      </c>
    </row>
    <row r="3955" spans="1:2" x14ac:dyDescent="0.2">
      <c r="A3955" s="57">
        <v>39934</v>
      </c>
    </row>
    <row r="3956" spans="1:2" x14ac:dyDescent="0.2">
      <c r="A3956" s="57">
        <v>39933</v>
      </c>
      <c r="B3956">
        <v>1.3274999999999999</v>
      </c>
    </row>
    <row r="3957" spans="1:2" x14ac:dyDescent="0.2">
      <c r="A3957" s="57">
        <v>39932</v>
      </c>
      <c r="B3957">
        <v>1.3266</v>
      </c>
    </row>
    <row r="3958" spans="1:2" x14ac:dyDescent="0.2">
      <c r="A3958" s="57">
        <v>39931</v>
      </c>
      <c r="B3958">
        <v>1.2991999999999999</v>
      </c>
    </row>
    <row r="3959" spans="1:2" x14ac:dyDescent="0.2">
      <c r="A3959" s="57">
        <v>39930</v>
      </c>
      <c r="B3959">
        <v>1.3125</v>
      </c>
    </row>
    <row r="3960" spans="1:2" x14ac:dyDescent="0.2">
      <c r="A3960" s="57">
        <v>39929</v>
      </c>
    </row>
    <row r="3961" spans="1:2" x14ac:dyDescent="0.2">
      <c r="A3961" s="57">
        <v>39928</v>
      </c>
    </row>
    <row r="3962" spans="1:2" x14ac:dyDescent="0.2">
      <c r="A3962" s="57">
        <v>39927</v>
      </c>
      <c r="B3962">
        <v>1.3231999999999999</v>
      </c>
    </row>
    <row r="3963" spans="1:2" x14ac:dyDescent="0.2">
      <c r="A3963" s="57">
        <v>39926</v>
      </c>
      <c r="B3963">
        <v>1.3049999999999999</v>
      </c>
    </row>
    <row r="3964" spans="1:2" x14ac:dyDescent="0.2">
      <c r="A3964" s="57">
        <v>39925</v>
      </c>
      <c r="B3964">
        <v>1.2947</v>
      </c>
    </row>
    <row r="3965" spans="1:2" x14ac:dyDescent="0.2">
      <c r="A3965" s="57">
        <v>39924</v>
      </c>
      <c r="B3965">
        <v>1.2931999999999999</v>
      </c>
    </row>
    <row r="3966" spans="1:2" x14ac:dyDescent="0.2">
      <c r="A3966" s="57">
        <v>39923</v>
      </c>
      <c r="B3966">
        <v>1.2966</v>
      </c>
    </row>
    <row r="3967" spans="1:2" x14ac:dyDescent="0.2">
      <c r="A3967" s="57">
        <v>39922</v>
      </c>
    </row>
    <row r="3968" spans="1:2" x14ac:dyDescent="0.2">
      <c r="A3968" s="57">
        <v>39921</v>
      </c>
    </row>
    <row r="3969" spans="1:2" x14ac:dyDescent="0.2">
      <c r="A3969" s="57">
        <v>39920</v>
      </c>
      <c r="B3969">
        <v>1.3058000000000001</v>
      </c>
    </row>
    <row r="3970" spans="1:2" x14ac:dyDescent="0.2">
      <c r="A3970" s="57">
        <v>39919</v>
      </c>
      <c r="B3970">
        <v>1.3196000000000001</v>
      </c>
    </row>
    <row r="3971" spans="1:2" x14ac:dyDescent="0.2">
      <c r="A3971" s="57">
        <v>39918</v>
      </c>
      <c r="B3971">
        <v>1.3172999999999999</v>
      </c>
    </row>
    <row r="3972" spans="1:2" x14ac:dyDescent="0.2">
      <c r="A3972" s="57">
        <v>39917</v>
      </c>
      <c r="B3972">
        <v>1.3275999999999999</v>
      </c>
    </row>
    <row r="3973" spans="1:2" x14ac:dyDescent="0.2">
      <c r="A3973" s="57">
        <v>39916</v>
      </c>
    </row>
    <row r="3974" spans="1:2" x14ac:dyDescent="0.2">
      <c r="A3974" s="57">
        <v>39915</v>
      </c>
    </row>
    <row r="3975" spans="1:2" x14ac:dyDescent="0.2">
      <c r="A3975" s="57">
        <v>39914</v>
      </c>
    </row>
    <row r="3976" spans="1:2" x14ac:dyDescent="0.2">
      <c r="A3976" s="57">
        <v>39913</v>
      </c>
    </row>
    <row r="3977" spans="1:2" x14ac:dyDescent="0.2">
      <c r="A3977" s="57">
        <v>39912</v>
      </c>
      <c r="B3977">
        <v>1.3272999999999999</v>
      </c>
    </row>
    <row r="3978" spans="1:2" x14ac:dyDescent="0.2">
      <c r="A3978" s="57">
        <v>39911</v>
      </c>
      <c r="B3978">
        <v>1.3230999999999999</v>
      </c>
    </row>
    <row r="3979" spans="1:2" x14ac:dyDescent="0.2">
      <c r="A3979" s="57">
        <v>39910</v>
      </c>
      <c r="B3979">
        <v>1.3254999999999999</v>
      </c>
    </row>
    <row r="3980" spans="1:2" x14ac:dyDescent="0.2">
      <c r="A3980" s="57">
        <v>39909</v>
      </c>
      <c r="B3980">
        <v>1.3495999999999999</v>
      </c>
    </row>
    <row r="3981" spans="1:2" x14ac:dyDescent="0.2">
      <c r="A3981" s="57">
        <v>39908</v>
      </c>
    </row>
    <row r="3982" spans="1:2" x14ac:dyDescent="0.2">
      <c r="A3982" s="57">
        <v>39907</v>
      </c>
    </row>
    <row r="3983" spans="1:2" x14ac:dyDescent="0.2">
      <c r="A3983" s="57">
        <v>39906</v>
      </c>
      <c r="B3983">
        <v>1.3425</v>
      </c>
    </row>
    <row r="3984" spans="1:2" x14ac:dyDescent="0.2">
      <c r="A3984" s="57">
        <v>39905</v>
      </c>
      <c r="B3984">
        <v>1.3391999999999999</v>
      </c>
    </row>
    <row r="3985" spans="1:2" x14ac:dyDescent="0.2">
      <c r="A3985" s="57">
        <v>39904</v>
      </c>
      <c r="B3985">
        <v>1.3246</v>
      </c>
    </row>
    <row r="3986" spans="1:2" x14ac:dyDescent="0.2">
      <c r="A3986" s="57">
        <v>39903</v>
      </c>
      <c r="B3986">
        <v>1.3308</v>
      </c>
    </row>
    <row r="3987" spans="1:2" x14ac:dyDescent="0.2">
      <c r="A3987" s="57">
        <v>39902</v>
      </c>
      <c r="B3987">
        <v>1.3192999999999999</v>
      </c>
    </row>
    <row r="3988" spans="1:2" x14ac:dyDescent="0.2">
      <c r="A3988" s="57">
        <v>39901</v>
      </c>
    </row>
    <row r="3989" spans="1:2" x14ac:dyDescent="0.2">
      <c r="A3989" s="57">
        <v>39900</v>
      </c>
    </row>
    <row r="3990" spans="1:2" x14ac:dyDescent="0.2">
      <c r="A3990" s="57">
        <v>39899</v>
      </c>
      <c r="B3990">
        <v>1.3294999999999999</v>
      </c>
    </row>
    <row r="3991" spans="1:2" x14ac:dyDescent="0.2">
      <c r="A3991" s="57">
        <v>39898</v>
      </c>
      <c r="B3991">
        <v>1.3607</v>
      </c>
    </row>
    <row r="3992" spans="1:2" x14ac:dyDescent="0.2">
      <c r="A3992" s="57">
        <v>39897</v>
      </c>
      <c r="B3992">
        <v>1.3493999999999999</v>
      </c>
    </row>
    <row r="3993" spans="1:2" x14ac:dyDescent="0.2">
      <c r="A3993" s="57">
        <v>39896</v>
      </c>
      <c r="B3993">
        <v>1.3507</v>
      </c>
    </row>
    <row r="3994" spans="1:2" x14ac:dyDescent="0.2">
      <c r="A3994" s="57">
        <v>39895</v>
      </c>
      <c r="B3994">
        <v>1.3557999999999999</v>
      </c>
    </row>
    <row r="3995" spans="1:2" x14ac:dyDescent="0.2">
      <c r="A3995" s="57">
        <v>39894</v>
      </c>
    </row>
    <row r="3996" spans="1:2" x14ac:dyDescent="0.2">
      <c r="A3996" s="57">
        <v>39893</v>
      </c>
    </row>
    <row r="3997" spans="1:2" x14ac:dyDescent="0.2">
      <c r="A3997" s="57">
        <v>39892</v>
      </c>
      <c r="B3997">
        <v>1.3549</v>
      </c>
    </row>
    <row r="3998" spans="1:2" x14ac:dyDescent="0.2">
      <c r="A3998" s="57">
        <v>39891</v>
      </c>
      <c r="B3998">
        <v>1.3671</v>
      </c>
    </row>
    <row r="3999" spans="1:2" x14ac:dyDescent="0.2">
      <c r="A3999" s="57">
        <v>39890</v>
      </c>
      <c r="B3999">
        <v>1.3129999999999999</v>
      </c>
    </row>
    <row r="4000" spans="1:2" x14ac:dyDescent="0.2">
      <c r="A4000" s="57">
        <v>39889</v>
      </c>
      <c r="B4000">
        <v>1.2942</v>
      </c>
    </row>
    <row r="4001" spans="1:2" x14ac:dyDescent="0.2">
      <c r="A4001" s="57">
        <v>39888</v>
      </c>
      <c r="B4001">
        <v>1.3042</v>
      </c>
    </row>
    <row r="4002" spans="1:2" x14ac:dyDescent="0.2">
      <c r="A4002" s="57">
        <v>39887</v>
      </c>
    </row>
    <row r="4003" spans="1:2" x14ac:dyDescent="0.2">
      <c r="A4003" s="57">
        <v>39886</v>
      </c>
    </row>
    <row r="4004" spans="1:2" x14ac:dyDescent="0.2">
      <c r="A4004" s="57">
        <v>39885</v>
      </c>
      <c r="B4004">
        <v>1.2905</v>
      </c>
    </row>
    <row r="4005" spans="1:2" x14ac:dyDescent="0.2">
      <c r="A4005" s="57">
        <v>39884</v>
      </c>
      <c r="B4005">
        <v>1.2782</v>
      </c>
    </row>
    <row r="4006" spans="1:2" x14ac:dyDescent="0.2">
      <c r="A4006" s="57">
        <v>39883</v>
      </c>
      <c r="B4006">
        <v>1.2786</v>
      </c>
    </row>
    <row r="4007" spans="1:2" x14ac:dyDescent="0.2">
      <c r="A4007" s="57">
        <v>39882</v>
      </c>
      <c r="B4007">
        <v>1.2783</v>
      </c>
    </row>
    <row r="4008" spans="1:2" x14ac:dyDescent="0.2">
      <c r="A4008" s="57">
        <v>39881</v>
      </c>
      <c r="B4008">
        <v>1.2565</v>
      </c>
    </row>
    <row r="4009" spans="1:2" x14ac:dyDescent="0.2">
      <c r="A4009" s="57">
        <v>39880</v>
      </c>
    </row>
    <row r="4010" spans="1:2" x14ac:dyDescent="0.2">
      <c r="A4010" s="57">
        <v>39879</v>
      </c>
    </row>
    <row r="4011" spans="1:2" x14ac:dyDescent="0.2">
      <c r="A4011" s="57">
        <v>39878</v>
      </c>
      <c r="B4011">
        <v>1.2658</v>
      </c>
    </row>
    <row r="4012" spans="1:2" x14ac:dyDescent="0.2">
      <c r="A4012" s="57">
        <v>39877</v>
      </c>
      <c r="B4012">
        <v>1.2555000000000001</v>
      </c>
    </row>
    <row r="4013" spans="1:2" x14ac:dyDescent="0.2">
      <c r="A4013" s="57">
        <v>39876</v>
      </c>
      <c r="B4013">
        <v>1.2555000000000001</v>
      </c>
    </row>
    <row r="4014" spans="1:2" x14ac:dyDescent="0.2">
      <c r="A4014" s="57">
        <v>39875</v>
      </c>
      <c r="B4014">
        <v>1.2615000000000001</v>
      </c>
    </row>
    <row r="4015" spans="1:2" x14ac:dyDescent="0.2">
      <c r="A4015" s="57">
        <v>39874</v>
      </c>
      <c r="B4015">
        <v>1.2596000000000001</v>
      </c>
    </row>
    <row r="4016" spans="1:2" x14ac:dyDescent="0.2">
      <c r="A4016" s="57">
        <v>39873</v>
      </c>
    </row>
    <row r="4017" spans="1:2" x14ac:dyDescent="0.2">
      <c r="A4017" s="57">
        <v>39872</v>
      </c>
    </row>
    <row r="4018" spans="1:2" x14ac:dyDescent="0.2">
      <c r="A4018" s="57">
        <v>39871</v>
      </c>
      <c r="B4018">
        <v>1.2644</v>
      </c>
    </row>
    <row r="4019" spans="1:2" x14ac:dyDescent="0.2">
      <c r="A4019" s="57">
        <v>39870</v>
      </c>
      <c r="B4019">
        <v>1.2782</v>
      </c>
    </row>
    <row r="4020" spans="1:2" x14ac:dyDescent="0.2">
      <c r="A4020" s="57">
        <v>39869</v>
      </c>
      <c r="B4020">
        <v>1.2795000000000001</v>
      </c>
    </row>
    <row r="4021" spans="1:2" x14ac:dyDescent="0.2">
      <c r="A4021" s="57">
        <v>39868</v>
      </c>
      <c r="B4021">
        <v>1.2763</v>
      </c>
    </row>
    <row r="4022" spans="1:2" x14ac:dyDescent="0.2">
      <c r="A4022" s="57">
        <v>39867</v>
      </c>
      <c r="B4022">
        <v>1.2798</v>
      </c>
    </row>
    <row r="4023" spans="1:2" x14ac:dyDescent="0.2">
      <c r="A4023" s="57">
        <v>39866</v>
      </c>
    </row>
    <row r="4024" spans="1:2" x14ac:dyDescent="0.2">
      <c r="A4024" s="57">
        <v>39865</v>
      </c>
    </row>
    <row r="4025" spans="1:2" x14ac:dyDescent="0.2">
      <c r="A4025" s="57">
        <v>39864</v>
      </c>
      <c r="B4025">
        <v>1.2591000000000001</v>
      </c>
    </row>
    <row r="4026" spans="1:2" x14ac:dyDescent="0.2">
      <c r="A4026" s="57">
        <v>39863</v>
      </c>
      <c r="B4026">
        <v>1.2705</v>
      </c>
    </row>
    <row r="4027" spans="1:2" x14ac:dyDescent="0.2">
      <c r="A4027" s="57">
        <v>39862</v>
      </c>
      <c r="B4027">
        <v>1.2596000000000001</v>
      </c>
    </row>
    <row r="4028" spans="1:2" x14ac:dyDescent="0.2">
      <c r="A4028" s="57">
        <v>39861</v>
      </c>
      <c r="B4028">
        <v>1.2634000000000001</v>
      </c>
    </row>
    <row r="4029" spans="1:2" x14ac:dyDescent="0.2">
      <c r="A4029" s="57">
        <v>39860</v>
      </c>
      <c r="B4029">
        <v>1.2765</v>
      </c>
    </row>
    <row r="4030" spans="1:2" x14ac:dyDescent="0.2">
      <c r="A4030" s="57">
        <v>39859</v>
      </c>
    </row>
    <row r="4031" spans="1:2" x14ac:dyDescent="0.2">
      <c r="A4031" s="57">
        <v>39858</v>
      </c>
    </row>
    <row r="4032" spans="1:2" x14ac:dyDescent="0.2">
      <c r="A4032" s="57">
        <v>39857</v>
      </c>
      <c r="B4032">
        <v>1.2823</v>
      </c>
    </row>
    <row r="4033" spans="1:2" x14ac:dyDescent="0.2">
      <c r="A4033" s="57">
        <v>39856</v>
      </c>
      <c r="B4033">
        <v>1.2833000000000001</v>
      </c>
    </row>
    <row r="4034" spans="1:2" x14ac:dyDescent="0.2">
      <c r="A4034" s="57">
        <v>39855</v>
      </c>
      <c r="B4034">
        <v>1.2938000000000001</v>
      </c>
    </row>
    <row r="4035" spans="1:2" x14ac:dyDescent="0.2">
      <c r="A4035" s="57">
        <v>39854</v>
      </c>
      <c r="B4035">
        <v>1.2967</v>
      </c>
    </row>
    <row r="4036" spans="1:2" x14ac:dyDescent="0.2">
      <c r="A4036" s="57">
        <v>39853</v>
      </c>
      <c r="B4036">
        <v>1.3008</v>
      </c>
    </row>
    <row r="4037" spans="1:2" x14ac:dyDescent="0.2">
      <c r="A4037" s="57">
        <v>39852</v>
      </c>
    </row>
    <row r="4038" spans="1:2" x14ac:dyDescent="0.2">
      <c r="A4038" s="57">
        <v>39851</v>
      </c>
    </row>
    <row r="4039" spans="1:2" x14ac:dyDescent="0.2">
      <c r="A4039" s="57">
        <v>39850</v>
      </c>
      <c r="B4039">
        <v>1.2796000000000001</v>
      </c>
    </row>
    <row r="4040" spans="1:2" x14ac:dyDescent="0.2">
      <c r="A4040" s="57">
        <v>39849</v>
      </c>
      <c r="B4040">
        <v>1.2828999999999999</v>
      </c>
    </row>
    <row r="4041" spans="1:2" x14ac:dyDescent="0.2">
      <c r="A4041" s="57">
        <v>39848</v>
      </c>
      <c r="B4041">
        <v>1.2818000000000001</v>
      </c>
    </row>
    <row r="4042" spans="1:2" x14ac:dyDescent="0.2">
      <c r="A4042" s="57">
        <v>39847</v>
      </c>
      <c r="B4042">
        <v>1.2848999999999999</v>
      </c>
    </row>
    <row r="4043" spans="1:2" x14ac:dyDescent="0.2">
      <c r="A4043" s="57">
        <v>39846</v>
      </c>
      <c r="B4043">
        <v>1.276</v>
      </c>
    </row>
    <row r="4044" spans="1:2" x14ac:dyDescent="0.2">
      <c r="A4044" s="57">
        <v>39845</v>
      </c>
    </row>
    <row r="4045" spans="1:2" x14ac:dyDescent="0.2">
      <c r="A4045" s="57">
        <v>39844</v>
      </c>
    </row>
    <row r="4046" spans="1:2" x14ac:dyDescent="0.2">
      <c r="A4046" s="57">
        <v>39843</v>
      </c>
      <c r="B4046">
        <v>1.2816000000000001</v>
      </c>
    </row>
    <row r="4047" spans="1:2" x14ac:dyDescent="0.2">
      <c r="A4047" s="57">
        <v>39842</v>
      </c>
      <c r="B4047">
        <v>1.3110999999999999</v>
      </c>
    </row>
    <row r="4048" spans="1:2" x14ac:dyDescent="0.2">
      <c r="A4048" s="57">
        <v>39841</v>
      </c>
      <c r="B4048">
        <v>1.3260000000000001</v>
      </c>
    </row>
    <row r="4049" spans="1:2" x14ac:dyDescent="0.2">
      <c r="A4049" s="57">
        <v>39840</v>
      </c>
      <c r="B4049">
        <v>1.3173999999999999</v>
      </c>
    </row>
    <row r="4050" spans="1:2" x14ac:dyDescent="0.2">
      <c r="A4050" s="57">
        <v>39839</v>
      </c>
      <c r="B4050">
        <v>1.2989999999999999</v>
      </c>
    </row>
    <row r="4051" spans="1:2" x14ac:dyDescent="0.2">
      <c r="A4051" s="57">
        <v>39838</v>
      </c>
    </row>
    <row r="4052" spans="1:2" x14ac:dyDescent="0.2">
      <c r="A4052" s="57">
        <v>39837</v>
      </c>
    </row>
    <row r="4053" spans="1:2" x14ac:dyDescent="0.2">
      <c r="A4053" s="57">
        <v>39836</v>
      </c>
      <c r="B4053">
        <v>1.2795000000000001</v>
      </c>
    </row>
    <row r="4054" spans="1:2" x14ac:dyDescent="0.2">
      <c r="A4054" s="57">
        <v>39835</v>
      </c>
      <c r="B4054">
        <v>1.2984</v>
      </c>
    </row>
    <row r="4055" spans="1:2" x14ac:dyDescent="0.2">
      <c r="A4055" s="57">
        <v>39834</v>
      </c>
      <c r="B4055">
        <v>1.2909999999999999</v>
      </c>
    </row>
    <row r="4056" spans="1:2" x14ac:dyDescent="0.2">
      <c r="A4056" s="57">
        <v>39833</v>
      </c>
      <c r="B4056">
        <v>1.2929999999999999</v>
      </c>
    </row>
    <row r="4057" spans="1:2" x14ac:dyDescent="0.2">
      <c r="A4057" s="57">
        <v>39832</v>
      </c>
      <c r="B4057">
        <v>1.3182</v>
      </c>
    </row>
    <row r="4058" spans="1:2" x14ac:dyDescent="0.2">
      <c r="A4058" s="57">
        <v>39831</v>
      </c>
    </row>
    <row r="4059" spans="1:2" x14ac:dyDescent="0.2">
      <c r="A4059" s="57">
        <v>39830</v>
      </c>
    </row>
    <row r="4060" spans="1:2" x14ac:dyDescent="0.2">
      <c r="A4060" s="57">
        <v>39829</v>
      </c>
      <c r="B4060">
        <v>1.327</v>
      </c>
    </row>
    <row r="4061" spans="1:2" x14ac:dyDescent="0.2">
      <c r="A4061" s="57">
        <v>39828</v>
      </c>
      <c r="B4061">
        <v>1.3085</v>
      </c>
    </row>
    <row r="4062" spans="1:2" x14ac:dyDescent="0.2">
      <c r="A4062" s="57">
        <v>39827</v>
      </c>
      <c r="B4062">
        <v>1.3172999999999999</v>
      </c>
    </row>
    <row r="4063" spans="1:2" x14ac:dyDescent="0.2">
      <c r="A4063" s="57">
        <v>39826</v>
      </c>
      <c r="B4063">
        <v>1.3262</v>
      </c>
    </row>
    <row r="4064" spans="1:2" x14ac:dyDescent="0.2">
      <c r="A4064" s="57">
        <v>39825</v>
      </c>
      <c r="B4064">
        <v>1.3393999999999999</v>
      </c>
    </row>
    <row r="4065" spans="1:2" x14ac:dyDescent="0.2">
      <c r="A4065" s="57">
        <v>39824</v>
      </c>
    </row>
    <row r="4066" spans="1:2" x14ac:dyDescent="0.2">
      <c r="A4066" s="57">
        <v>39823</v>
      </c>
    </row>
    <row r="4067" spans="1:2" x14ac:dyDescent="0.2">
      <c r="A4067" s="57">
        <v>39822</v>
      </c>
      <c r="B4067">
        <v>1.3684000000000001</v>
      </c>
    </row>
    <row r="4068" spans="1:2" x14ac:dyDescent="0.2">
      <c r="A4068" s="57">
        <v>39821</v>
      </c>
      <c r="B4068">
        <v>1.3616999999999999</v>
      </c>
    </row>
    <row r="4069" spans="1:2" x14ac:dyDescent="0.2">
      <c r="A4069" s="57">
        <v>39820</v>
      </c>
      <c r="B4069">
        <v>1.3594999999999999</v>
      </c>
    </row>
    <row r="4070" spans="1:2" x14ac:dyDescent="0.2">
      <c r="A4070" s="57">
        <v>39819</v>
      </c>
      <c r="B4070">
        <v>1.3331999999999999</v>
      </c>
    </row>
    <row r="4071" spans="1:2" x14ac:dyDescent="0.2">
      <c r="A4071" s="57">
        <v>39818</v>
      </c>
      <c r="B4071">
        <v>1.3582000000000001</v>
      </c>
    </row>
    <row r="4072" spans="1:2" x14ac:dyDescent="0.2">
      <c r="A4072" s="57">
        <v>39817</v>
      </c>
    </row>
    <row r="4073" spans="1:2" x14ac:dyDescent="0.2">
      <c r="A4073" s="57">
        <v>39816</v>
      </c>
    </row>
    <row r="4074" spans="1:2" x14ac:dyDescent="0.2">
      <c r="A4074" s="57">
        <v>39815</v>
      </c>
      <c r="B4074">
        <v>1.3866000000000001</v>
      </c>
    </row>
    <row r="4075" spans="1:2" x14ac:dyDescent="0.2">
      <c r="A4075" s="57">
        <v>39814</v>
      </c>
    </row>
    <row r="4076" spans="1:2" x14ac:dyDescent="0.2">
      <c r="A4076" s="57">
        <v>39813</v>
      </c>
      <c r="B4076">
        <v>1.3916999999999999</v>
      </c>
    </row>
    <row r="4077" spans="1:2" x14ac:dyDescent="0.2">
      <c r="A4077" s="57">
        <v>39812</v>
      </c>
      <c r="B4077">
        <v>1.4097999999999999</v>
      </c>
    </row>
    <row r="4078" spans="1:2" x14ac:dyDescent="0.2">
      <c r="A4078" s="57">
        <v>39811</v>
      </c>
      <c r="B4078">
        <v>1.427</v>
      </c>
    </row>
    <row r="4079" spans="1:2" x14ac:dyDescent="0.2">
      <c r="A4079" s="57">
        <v>39810</v>
      </c>
    </row>
    <row r="4080" spans="1:2" x14ac:dyDescent="0.2">
      <c r="A4080" s="57">
        <v>39809</v>
      </c>
    </row>
    <row r="4081" spans="1:2" x14ac:dyDescent="0.2">
      <c r="A4081" s="57">
        <v>39808</v>
      </c>
    </row>
    <row r="4082" spans="1:2" x14ac:dyDescent="0.2">
      <c r="A4082" s="57">
        <v>39807</v>
      </c>
    </row>
    <row r="4083" spans="1:2" x14ac:dyDescent="0.2">
      <c r="A4083" s="57">
        <v>39806</v>
      </c>
      <c r="B4083">
        <v>1.4005000000000001</v>
      </c>
    </row>
    <row r="4084" spans="1:2" x14ac:dyDescent="0.2">
      <c r="A4084" s="57">
        <v>39805</v>
      </c>
      <c r="B4084">
        <v>1.3977999999999999</v>
      </c>
    </row>
    <row r="4085" spans="1:2" x14ac:dyDescent="0.2">
      <c r="A4085" s="57">
        <v>39804</v>
      </c>
      <c r="B4085">
        <v>1.397</v>
      </c>
    </row>
    <row r="4086" spans="1:2" x14ac:dyDescent="0.2">
      <c r="A4086" s="57">
        <v>39803</v>
      </c>
    </row>
    <row r="4087" spans="1:2" x14ac:dyDescent="0.2">
      <c r="A4087" s="57">
        <v>39802</v>
      </c>
    </row>
    <row r="4088" spans="1:2" x14ac:dyDescent="0.2">
      <c r="A4088" s="57">
        <v>39801</v>
      </c>
      <c r="B4088">
        <v>1.3939999999999999</v>
      </c>
    </row>
    <row r="4089" spans="1:2" x14ac:dyDescent="0.2">
      <c r="A4089" s="57">
        <v>39800</v>
      </c>
      <c r="B4089">
        <v>1.4616</v>
      </c>
    </row>
    <row r="4090" spans="1:2" x14ac:dyDescent="0.2">
      <c r="A4090" s="57">
        <v>39799</v>
      </c>
      <c r="B4090">
        <v>1.4058999999999999</v>
      </c>
    </row>
    <row r="4091" spans="1:2" x14ac:dyDescent="0.2">
      <c r="A4091" s="57">
        <v>39798</v>
      </c>
      <c r="B4091">
        <v>1.369</v>
      </c>
    </row>
    <row r="4092" spans="1:2" x14ac:dyDescent="0.2">
      <c r="A4092" s="57">
        <v>39797</v>
      </c>
      <c r="B4092">
        <v>1.351</v>
      </c>
    </row>
    <row r="4093" spans="1:2" x14ac:dyDescent="0.2">
      <c r="A4093" s="57">
        <v>39796</v>
      </c>
    </row>
    <row r="4094" spans="1:2" x14ac:dyDescent="0.2">
      <c r="A4094" s="57">
        <v>39795</v>
      </c>
    </row>
    <row r="4095" spans="1:2" x14ac:dyDescent="0.2">
      <c r="A4095" s="57">
        <v>39794</v>
      </c>
      <c r="B4095">
        <v>1.3340000000000001</v>
      </c>
    </row>
    <row r="4096" spans="1:2" x14ac:dyDescent="0.2">
      <c r="A4096" s="57">
        <v>39793</v>
      </c>
      <c r="B4096">
        <v>1.3214999999999999</v>
      </c>
    </row>
    <row r="4097" spans="1:2" x14ac:dyDescent="0.2">
      <c r="A4097" s="57">
        <v>39792</v>
      </c>
      <c r="B4097">
        <v>1.2925</v>
      </c>
    </row>
    <row r="4098" spans="1:2" x14ac:dyDescent="0.2">
      <c r="A4098" s="57">
        <v>39791</v>
      </c>
      <c r="B4098">
        <v>1.2838000000000001</v>
      </c>
    </row>
    <row r="4099" spans="1:2" x14ac:dyDescent="0.2">
      <c r="A4099" s="57">
        <v>39790</v>
      </c>
      <c r="B4099">
        <v>1.2854000000000001</v>
      </c>
    </row>
    <row r="4100" spans="1:2" x14ac:dyDescent="0.2">
      <c r="A4100" s="57">
        <v>39789</v>
      </c>
    </row>
    <row r="4101" spans="1:2" x14ac:dyDescent="0.2">
      <c r="A4101" s="57">
        <v>39788</v>
      </c>
    </row>
    <row r="4102" spans="1:2" x14ac:dyDescent="0.2">
      <c r="A4102" s="57">
        <v>39787</v>
      </c>
      <c r="B4102">
        <v>1.2665</v>
      </c>
    </row>
    <row r="4103" spans="1:2" x14ac:dyDescent="0.2">
      <c r="A4103" s="57">
        <v>39786</v>
      </c>
      <c r="B4103">
        <v>1.262</v>
      </c>
    </row>
    <row r="4104" spans="1:2" x14ac:dyDescent="0.2">
      <c r="A4104" s="57">
        <v>39785</v>
      </c>
      <c r="B4104">
        <v>1.2623</v>
      </c>
    </row>
    <row r="4105" spans="1:2" x14ac:dyDescent="0.2">
      <c r="A4105" s="57">
        <v>39784</v>
      </c>
      <c r="B4105">
        <v>1.2697000000000001</v>
      </c>
    </row>
    <row r="4106" spans="1:2" x14ac:dyDescent="0.2">
      <c r="A4106" s="57">
        <v>39783</v>
      </c>
      <c r="B4106">
        <v>1.2607999999999999</v>
      </c>
    </row>
    <row r="4107" spans="1:2" x14ac:dyDescent="0.2">
      <c r="A4107" s="57">
        <v>39782</v>
      </c>
    </row>
    <row r="4108" spans="1:2" x14ac:dyDescent="0.2">
      <c r="A4108" s="57">
        <v>39781</v>
      </c>
    </row>
    <row r="4109" spans="1:2" x14ac:dyDescent="0.2">
      <c r="A4109" s="57">
        <v>39780</v>
      </c>
      <c r="B4109">
        <v>1.2726999999999999</v>
      </c>
    </row>
    <row r="4110" spans="1:2" x14ac:dyDescent="0.2">
      <c r="A4110" s="57">
        <v>39779</v>
      </c>
      <c r="B4110">
        <v>1.29</v>
      </c>
    </row>
    <row r="4111" spans="1:2" x14ac:dyDescent="0.2">
      <c r="A4111" s="57">
        <v>39778</v>
      </c>
      <c r="B4111">
        <v>1.2935000000000001</v>
      </c>
    </row>
    <row r="4112" spans="1:2" x14ac:dyDescent="0.2">
      <c r="A4112" s="57">
        <v>39777</v>
      </c>
      <c r="B4112">
        <v>1.2810999999999999</v>
      </c>
    </row>
    <row r="4113" spans="1:2" x14ac:dyDescent="0.2">
      <c r="A4113" s="57">
        <v>39776</v>
      </c>
      <c r="B4113">
        <v>1.2773000000000001</v>
      </c>
    </row>
    <row r="4114" spans="1:2" x14ac:dyDescent="0.2">
      <c r="A4114" s="57">
        <v>39775</v>
      </c>
    </row>
    <row r="4115" spans="1:2" x14ac:dyDescent="0.2">
      <c r="A4115" s="57">
        <v>39774</v>
      </c>
    </row>
    <row r="4116" spans="1:2" x14ac:dyDescent="0.2">
      <c r="A4116" s="57">
        <v>39773</v>
      </c>
      <c r="B4116">
        <v>1.2602</v>
      </c>
    </row>
    <row r="4117" spans="1:2" x14ac:dyDescent="0.2">
      <c r="A4117" s="57">
        <v>39772</v>
      </c>
      <c r="B4117">
        <v>1.2542</v>
      </c>
    </row>
    <row r="4118" spans="1:2" x14ac:dyDescent="0.2">
      <c r="A4118" s="57">
        <v>39771</v>
      </c>
      <c r="B4118">
        <v>1.2634000000000001</v>
      </c>
    </row>
    <row r="4119" spans="1:2" x14ac:dyDescent="0.2">
      <c r="A4119" s="57">
        <v>39770</v>
      </c>
      <c r="B4119">
        <v>1.2653000000000001</v>
      </c>
    </row>
    <row r="4120" spans="1:2" x14ac:dyDescent="0.2">
      <c r="A4120" s="57">
        <v>39769</v>
      </c>
      <c r="B4120">
        <v>1.266</v>
      </c>
    </row>
    <row r="4121" spans="1:2" x14ac:dyDescent="0.2">
      <c r="A4121" s="57">
        <v>39768</v>
      </c>
    </row>
    <row r="4122" spans="1:2" x14ac:dyDescent="0.2">
      <c r="A4122" s="57">
        <v>39767</v>
      </c>
    </row>
    <row r="4123" spans="1:2" x14ac:dyDescent="0.2">
      <c r="A4123" s="57">
        <v>39766</v>
      </c>
      <c r="B4123">
        <v>1.2675000000000001</v>
      </c>
    </row>
    <row r="4124" spans="1:2" x14ac:dyDescent="0.2">
      <c r="A4124" s="57">
        <v>39765</v>
      </c>
      <c r="B4124">
        <v>1.2524999999999999</v>
      </c>
    </row>
    <row r="4125" spans="1:2" x14ac:dyDescent="0.2">
      <c r="A4125" s="57">
        <v>39764</v>
      </c>
      <c r="B4125">
        <v>1.2529999999999999</v>
      </c>
    </row>
    <row r="4126" spans="1:2" x14ac:dyDescent="0.2">
      <c r="A4126" s="57">
        <v>39763</v>
      </c>
      <c r="B4126">
        <v>1.2746999999999999</v>
      </c>
    </row>
    <row r="4127" spans="1:2" x14ac:dyDescent="0.2">
      <c r="A4127" s="57">
        <v>39762</v>
      </c>
      <c r="B4127">
        <v>1.2890999999999999</v>
      </c>
    </row>
    <row r="4128" spans="1:2" x14ac:dyDescent="0.2">
      <c r="A4128" s="57">
        <v>39761</v>
      </c>
    </row>
    <row r="4129" spans="1:2" x14ac:dyDescent="0.2">
      <c r="A4129" s="57">
        <v>39760</v>
      </c>
    </row>
    <row r="4130" spans="1:2" x14ac:dyDescent="0.2">
      <c r="A4130" s="57">
        <v>39759</v>
      </c>
      <c r="B4130">
        <v>1.2756000000000001</v>
      </c>
    </row>
    <row r="4131" spans="1:2" x14ac:dyDescent="0.2">
      <c r="A4131" s="57">
        <v>39758</v>
      </c>
      <c r="B4131">
        <v>1.2769999999999999</v>
      </c>
    </row>
    <row r="4132" spans="1:2" x14ac:dyDescent="0.2">
      <c r="A4132" s="57">
        <v>39757</v>
      </c>
      <c r="B4132">
        <v>1.2869999999999999</v>
      </c>
    </row>
    <row r="4133" spans="1:2" x14ac:dyDescent="0.2">
      <c r="A4133" s="57">
        <v>39756</v>
      </c>
      <c r="B4133">
        <v>1.282</v>
      </c>
    </row>
    <row r="4134" spans="1:2" x14ac:dyDescent="0.2">
      <c r="A4134" s="57">
        <v>39755</v>
      </c>
      <c r="B4134">
        <v>1.2822</v>
      </c>
    </row>
    <row r="4135" spans="1:2" x14ac:dyDescent="0.2">
      <c r="A4135" s="57">
        <v>39754</v>
      </c>
    </row>
    <row r="4136" spans="1:2" x14ac:dyDescent="0.2">
      <c r="A4136" s="57">
        <v>39753</v>
      </c>
    </row>
    <row r="4137" spans="1:2" x14ac:dyDescent="0.2">
      <c r="A4137" s="57">
        <v>39752</v>
      </c>
      <c r="B4137">
        <v>1.2757000000000001</v>
      </c>
    </row>
    <row r="4138" spans="1:2" x14ac:dyDescent="0.2">
      <c r="A4138" s="57">
        <v>39751</v>
      </c>
      <c r="B4138">
        <v>1.3035000000000001</v>
      </c>
    </row>
    <row r="4139" spans="1:2" x14ac:dyDescent="0.2">
      <c r="A4139" s="57">
        <v>39750</v>
      </c>
      <c r="B4139">
        <v>1.2769999999999999</v>
      </c>
    </row>
    <row r="4140" spans="1:2" x14ac:dyDescent="0.2">
      <c r="A4140" s="57">
        <v>39749</v>
      </c>
      <c r="B4140">
        <v>1.2525999999999999</v>
      </c>
    </row>
    <row r="4141" spans="1:2" x14ac:dyDescent="0.2">
      <c r="A4141" s="57">
        <v>39748</v>
      </c>
      <c r="B4141">
        <v>1.246</v>
      </c>
    </row>
    <row r="4142" spans="1:2" x14ac:dyDescent="0.2">
      <c r="A4142" s="57">
        <v>39747</v>
      </c>
    </row>
    <row r="4143" spans="1:2" x14ac:dyDescent="0.2">
      <c r="A4143" s="57">
        <v>39746</v>
      </c>
    </row>
    <row r="4144" spans="1:2" x14ac:dyDescent="0.2">
      <c r="A4144" s="57">
        <v>39745</v>
      </c>
      <c r="B4144">
        <v>1.2596000000000001</v>
      </c>
    </row>
    <row r="4145" spans="1:2" x14ac:dyDescent="0.2">
      <c r="A4145" s="57">
        <v>39744</v>
      </c>
      <c r="B4145">
        <v>1.2809999999999999</v>
      </c>
    </row>
    <row r="4146" spans="1:2" x14ac:dyDescent="0.2">
      <c r="A4146" s="57">
        <v>39743</v>
      </c>
      <c r="B4146">
        <v>1.2843</v>
      </c>
    </row>
    <row r="4147" spans="1:2" x14ac:dyDescent="0.2">
      <c r="A4147" s="57">
        <v>39742</v>
      </c>
      <c r="B4147">
        <v>1.3184</v>
      </c>
    </row>
    <row r="4148" spans="1:2" x14ac:dyDescent="0.2">
      <c r="A4148" s="57">
        <v>39741</v>
      </c>
      <c r="B4148">
        <v>1.3424</v>
      </c>
    </row>
    <row r="4149" spans="1:2" x14ac:dyDescent="0.2">
      <c r="A4149" s="57">
        <v>39740</v>
      </c>
    </row>
    <row r="4150" spans="1:2" x14ac:dyDescent="0.2">
      <c r="A4150" s="57">
        <v>39739</v>
      </c>
    </row>
    <row r="4151" spans="1:2" x14ac:dyDescent="0.2">
      <c r="A4151" s="57">
        <v>39738</v>
      </c>
      <c r="B4151">
        <v>1.3404</v>
      </c>
    </row>
    <row r="4152" spans="1:2" x14ac:dyDescent="0.2">
      <c r="A4152" s="57">
        <v>39737</v>
      </c>
      <c r="B4152">
        <v>1.3507</v>
      </c>
    </row>
    <row r="4153" spans="1:2" x14ac:dyDescent="0.2">
      <c r="A4153" s="57">
        <v>39736</v>
      </c>
      <c r="B4153">
        <v>1.3625</v>
      </c>
    </row>
    <row r="4154" spans="1:2" x14ac:dyDescent="0.2">
      <c r="A4154" s="57">
        <v>39735</v>
      </c>
      <c r="B4154">
        <v>1.3752</v>
      </c>
    </row>
    <row r="4155" spans="1:2" x14ac:dyDescent="0.2">
      <c r="A4155" s="57">
        <v>39734</v>
      </c>
      <c r="B4155">
        <v>1.3638999999999999</v>
      </c>
    </row>
    <row r="4156" spans="1:2" x14ac:dyDescent="0.2">
      <c r="A4156" s="57">
        <v>39733</v>
      </c>
    </row>
    <row r="4157" spans="1:2" x14ac:dyDescent="0.2">
      <c r="A4157" s="57">
        <v>39732</v>
      </c>
    </row>
    <row r="4158" spans="1:2" x14ac:dyDescent="0.2">
      <c r="A4158" s="57">
        <v>39731</v>
      </c>
      <c r="B4158">
        <v>1.3579000000000001</v>
      </c>
    </row>
    <row r="4159" spans="1:2" x14ac:dyDescent="0.2">
      <c r="A4159" s="57">
        <v>39730</v>
      </c>
      <c r="B4159">
        <v>1.3682000000000001</v>
      </c>
    </row>
    <row r="4160" spans="1:2" x14ac:dyDescent="0.2">
      <c r="A4160" s="57">
        <v>39729</v>
      </c>
      <c r="B4160">
        <v>1.3731</v>
      </c>
    </row>
    <row r="4161" spans="1:2" x14ac:dyDescent="0.2">
      <c r="A4161" s="57">
        <v>39728</v>
      </c>
      <c r="B4161">
        <v>1.3632</v>
      </c>
    </row>
    <row r="4162" spans="1:2" x14ac:dyDescent="0.2">
      <c r="A4162" s="57">
        <v>39727</v>
      </c>
      <c r="B4162">
        <v>1.3633999999999999</v>
      </c>
    </row>
    <row r="4163" spans="1:2" x14ac:dyDescent="0.2">
      <c r="A4163" s="57">
        <v>39726</v>
      </c>
    </row>
    <row r="4164" spans="1:2" x14ac:dyDescent="0.2">
      <c r="A4164" s="57">
        <v>39725</v>
      </c>
    </row>
    <row r="4165" spans="1:2" x14ac:dyDescent="0.2">
      <c r="A4165" s="57">
        <v>39724</v>
      </c>
      <c r="B4165">
        <v>1.3834</v>
      </c>
    </row>
    <row r="4166" spans="1:2" x14ac:dyDescent="0.2">
      <c r="A4166" s="57">
        <v>39723</v>
      </c>
      <c r="B4166">
        <v>1.3903000000000001</v>
      </c>
    </row>
    <row r="4167" spans="1:2" x14ac:dyDescent="0.2">
      <c r="A4167" s="57">
        <v>39722</v>
      </c>
      <c r="B4167">
        <v>1.4080999999999999</v>
      </c>
    </row>
    <row r="4168" spans="1:2" x14ac:dyDescent="0.2">
      <c r="A4168" s="57">
        <v>39721</v>
      </c>
      <c r="B4168">
        <v>1.4302999999999999</v>
      </c>
    </row>
    <row r="4169" spans="1:2" x14ac:dyDescent="0.2">
      <c r="A4169" s="57">
        <v>39720</v>
      </c>
      <c r="B4169">
        <v>1.4349000000000001</v>
      </c>
    </row>
    <row r="4170" spans="1:2" x14ac:dyDescent="0.2">
      <c r="A4170" s="57">
        <v>39719</v>
      </c>
    </row>
    <row r="4171" spans="1:2" x14ac:dyDescent="0.2">
      <c r="A4171" s="57">
        <v>39718</v>
      </c>
    </row>
    <row r="4172" spans="1:2" x14ac:dyDescent="0.2">
      <c r="A4172" s="57">
        <v>39717</v>
      </c>
      <c r="B4172">
        <v>1.464</v>
      </c>
    </row>
    <row r="4173" spans="1:2" x14ac:dyDescent="0.2">
      <c r="A4173" s="57">
        <v>39716</v>
      </c>
      <c r="B4173">
        <v>1.47</v>
      </c>
    </row>
    <row r="4174" spans="1:2" x14ac:dyDescent="0.2">
      <c r="A4174" s="57">
        <v>39715</v>
      </c>
      <c r="B4174">
        <v>1.4690000000000001</v>
      </c>
    </row>
    <row r="4175" spans="1:2" x14ac:dyDescent="0.2">
      <c r="A4175" s="57">
        <v>39714</v>
      </c>
      <c r="B4175">
        <v>1.4731000000000001</v>
      </c>
    </row>
    <row r="4176" spans="1:2" x14ac:dyDescent="0.2">
      <c r="A4176" s="57">
        <v>39713</v>
      </c>
      <c r="B4176">
        <v>1.4571000000000001</v>
      </c>
    </row>
    <row r="4177" spans="1:2" x14ac:dyDescent="0.2">
      <c r="A4177" s="57">
        <v>39712</v>
      </c>
    </row>
    <row r="4178" spans="1:2" x14ac:dyDescent="0.2">
      <c r="A4178" s="57">
        <v>39711</v>
      </c>
    </row>
    <row r="4179" spans="1:2" x14ac:dyDescent="0.2">
      <c r="A4179" s="57">
        <v>39710</v>
      </c>
      <c r="B4179">
        <v>1.4236</v>
      </c>
    </row>
    <row r="4180" spans="1:2" x14ac:dyDescent="0.2">
      <c r="A4180" s="57">
        <v>39709</v>
      </c>
      <c r="B4180">
        <v>1.4501999999999999</v>
      </c>
    </row>
    <row r="4181" spans="1:2" x14ac:dyDescent="0.2">
      <c r="A4181" s="57">
        <v>39708</v>
      </c>
      <c r="B4181">
        <v>1.4224000000000001</v>
      </c>
    </row>
    <row r="4182" spans="1:2" x14ac:dyDescent="0.2">
      <c r="A4182" s="57">
        <v>39707</v>
      </c>
      <c r="B4182">
        <v>1.4267000000000001</v>
      </c>
    </row>
    <row r="4183" spans="1:2" x14ac:dyDescent="0.2">
      <c r="A4183" s="57">
        <v>39706</v>
      </c>
      <c r="B4183">
        <v>1.4151</v>
      </c>
    </row>
    <row r="4184" spans="1:2" x14ac:dyDescent="0.2">
      <c r="A4184" s="57">
        <v>39705</v>
      </c>
    </row>
    <row r="4185" spans="1:2" x14ac:dyDescent="0.2">
      <c r="A4185" s="57">
        <v>39704</v>
      </c>
    </row>
    <row r="4186" spans="1:2" x14ac:dyDescent="0.2">
      <c r="A4186" s="57">
        <v>39703</v>
      </c>
      <c r="B4186">
        <v>1.4066000000000001</v>
      </c>
    </row>
    <row r="4187" spans="1:2" x14ac:dyDescent="0.2">
      <c r="A4187" s="57">
        <v>39702</v>
      </c>
      <c r="B4187">
        <v>1.3934</v>
      </c>
    </row>
    <row r="4188" spans="1:2" x14ac:dyDescent="0.2">
      <c r="A4188" s="57">
        <v>39701</v>
      </c>
      <c r="B4188">
        <v>1.4094</v>
      </c>
    </row>
    <row r="4189" spans="1:2" x14ac:dyDescent="0.2">
      <c r="A4189" s="57">
        <v>39700</v>
      </c>
      <c r="B4189">
        <v>1.4144000000000001</v>
      </c>
    </row>
    <row r="4190" spans="1:2" x14ac:dyDescent="0.2">
      <c r="A4190" s="57">
        <v>39699</v>
      </c>
      <c r="B4190">
        <v>1.4214</v>
      </c>
    </row>
    <row r="4191" spans="1:2" x14ac:dyDescent="0.2">
      <c r="A4191" s="57">
        <v>39698</v>
      </c>
    </row>
    <row r="4192" spans="1:2" x14ac:dyDescent="0.2">
      <c r="A4192" s="57">
        <v>39697</v>
      </c>
    </row>
    <row r="4193" spans="1:2" x14ac:dyDescent="0.2">
      <c r="A4193" s="57">
        <v>39696</v>
      </c>
      <c r="B4193">
        <v>1.4247000000000001</v>
      </c>
    </row>
    <row r="4194" spans="1:2" x14ac:dyDescent="0.2">
      <c r="A4194" s="57">
        <v>39695</v>
      </c>
      <c r="B4194">
        <v>1.4488000000000001</v>
      </c>
    </row>
    <row r="4195" spans="1:2" x14ac:dyDescent="0.2">
      <c r="A4195" s="57">
        <v>39694</v>
      </c>
      <c r="B4195">
        <v>1.4440999999999999</v>
      </c>
    </row>
    <row r="4196" spans="1:2" x14ac:dyDescent="0.2">
      <c r="A4196" s="57">
        <v>39693</v>
      </c>
      <c r="B4196">
        <v>1.4516</v>
      </c>
    </row>
    <row r="4197" spans="1:2" x14ac:dyDescent="0.2">
      <c r="A4197" s="57">
        <v>39692</v>
      </c>
      <c r="B4197">
        <v>1.4621</v>
      </c>
    </row>
    <row r="4198" spans="1:2" x14ac:dyDescent="0.2">
      <c r="A4198" s="57">
        <v>39691</v>
      </c>
    </row>
    <row r="4199" spans="1:2" x14ac:dyDescent="0.2">
      <c r="A4199" s="57">
        <v>39690</v>
      </c>
    </row>
    <row r="4200" spans="1:2" x14ac:dyDescent="0.2">
      <c r="A4200" s="57">
        <v>39689</v>
      </c>
      <c r="B4200">
        <v>1.4735</v>
      </c>
    </row>
    <row r="4201" spans="1:2" x14ac:dyDescent="0.2">
      <c r="A4201" s="57">
        <v>39688</v>
      </c>
      <c r="B4201">
        <v>1.4771000000000001</v>
      </c>
    </row>
    <row r="4202" spans="1:2" x14ac:dyDescent="0.2">
      <c r="A4202" s="57">
        <v>39687</v>
      </c>
      <c r="B4202">
        <v>1.4766999999999999</v>
      </c>
    </row>
    <row r="4203" spans="1:2" x14ac:dyDescent="0.2">
      <c r="A4203" s="57">
        <v>39686</v>
      </c>
      <c r="B4203">
        <v>1.4598</v>
      </c>
    </row>
    <row r="4204" spans="1:2" x14ac:dyDescent="0.2">
      <c r="A4204" s="57">
        <v>39685</v>
      </c>
      <c r="B4204">
        <v>1.4766999999999999</v>
      </c>
    </row>
    <row r="4205" spans="1:2" x14ac:dyDescent="0.2">
      <c r="A4205" s="57">
        <v>39684</v>
      </c>
    </row>
    <row r="4206" spans="1:2" x14ac:dyDescent="0.2">
      <c r="A4206" s="57">
        <v>39683</v>
      </c>
    </row>
    <row r="4207" spans="1:2" x14ac:dyDescent="0.2">
      <c r="A4207" s="57">
        <v>39682</v>
      </c>
      <c r="B4207">
        <v>1.4807999999999999</v>
      </c>
    </row>
    <row r="4208" spans="1:2" x14ac:dyDescent="0.2">
      <c r="A4208" s="57">
        <v>39681</v>
      </c>
      <c r="B4208">
        <v>1.4814000000000001</v>
      </c>
    </row>
    <row r="4209" spans="1:2" x14ac:dyDescent="0.2">
      <c r="A4209" s="57">
        <v>39680</v>
      </c>
      <c r="B4209">
        <v>1.4734</v>
      </c>
    </row>
    <row r="4210" spans="1:2" x14ac:dyDescent="0.2">
      <c r="A4210" s="57">
        <v>39679</v>
      </c>
      <c r="B4210">
        <v>1.4677</v>
      </c>
    </row>
    <row r="4211" spans="1:2" x14ac:dyDescent="0.2">
      <c r="A4211" s="57">
        <v>39678</v>
      </c>
      <c r="B4211">
        <v>1.4703999999999999</v>
      </c>
    </row>
    <row r="4212" spans="1:2" x14ac:dyDescent="0.2">
      <c r="A4212" s="57">
        <v>39677</v>
      </c>
    </row>
    <row r="4213" spans="1:2" x14ac:dyDescent="0.2">
      <c r="A4213" s="57">
        <v>39676</v>
      </c>
    </row>
    <row r="4214" spans="1:2" x14ac:dyDescent="0.2">
      <c r="A4214" s="57">
        <v>39675</v>
      </c>
      <c r="B4214">
        <v>1.4729000000000001</v>
      </c>
    </row>
    <row r="4215" spans="1:2" x14ac:dyDescent="0.2">
      <c r="A4215" s="57">
        <v>39674</v>
      </c>
      <c r="B4215">
        <v>1.4906999999999999</v>
      </c>
    </row>
    <row r="4216" spans="1:2" x14ac:dyDescent="0.2">
      <c r="A4216" s="57">
        <v>39673</v>
      </c>
      <c r="B4216">
        <v>1.4903</v>
      </c>
    </row>
    <row r="4217" spans="1:2" x14ac:dyDescent="0.2">
      <c r="A4217" s="57">
        <v>39672</v>
      </c>
      <c r="B4217">
        <v>1.4906999999999999</v>
      </c>
    </row>
    <row r="4218" spans="1:2" x14ac:dyDescent="0.2">
      <c r="A4218" s="57">
        <v>39671</v>
      </c>
      <c r="B4218">
        <v>1.5012000000000001</v>
      </c>
    </row>
    <row r="4219" spans="1:2" x14ac:dyDescent="0.2">
      <c r="A4219" s="57">
        <v>39670</v>
      </c>
    </row>
    <row r="4220" spans="1:2" x14ac:dyDescent="0.2">
      <c r="A4220" s="57">
        <v>39669</v>
      </c>
    </row>
    <row r="4221" spans="1:2" x14ac:dyDescent="0.2">
      <c r="A4221" s="57">
        <v>39668</v>
      </c>
      <c r="B4221">
        <v>1.5074000000000001</v>
      </c>
    </row>
    <row r="4222" spans="1:2" x14ac:dyDescent="0.2">
      <c r="A4222" s="57">
        <v>39667</v>
      </c>
      <c r="B4222">
        <v>1.5470999999999999</v>
      </c>
    </row>
    <row r="4223" spans="1:2" x14ac:dyDescent="0.2">
      <c r="A4223" s="57">
        <v>39666</v>
      </c>
      <c r="B4223">
        <v>1.5478000000000001</v>
      </c>
    </row>
    <row r="4224" spans="1:2" x14ac:dyDescent="0.2">
      <c r="A4224" s="57">
        <v>39665</v>
      </c>
      <c r="B4224">
        <v>1.5487</v>
      </c>
    </row>
    <row r="4225" spans="1:2" x14ac:dyDescent="0.2">
      <c r="A4225" s="57">
        <v>39664</v>
      </c>
      <c r="B4225">
        <v>1.5566</v>
      </c>
    </row>
    <row r="4226" spans="1:2" x14ac:dyDescent="0.2">
      <c r="A4226" s="57">
        <v>39663</v>
      </c>
    </row>
    <row r="4227" spans="1:2" x14ac:dyDescent="0.2">
      <c r="A4227" s="57">
        <v>39662</v>
      </c>
    </row>
    <row r="4228" spans="1:2" x14ac:dyDescent="0.2">
      <c r="A4228" s="57">
        <v>39661</v>
      </c>
      <c r="B4228">
        <v>1.5573999999999999</v>
      </c>
    </row>
    <row r="4229" spans="1:2" x14ac:dyDescent="0.2">
      <c r="A4229" s="57">
        <v>39660</v>
      </c>
      <c r="B4229">
        <v>1.5610999999999999</v>
      </c>
    </row>
    <row r="4230" spans="1:2" x14ac:dyDescent="0.2">
      <c r="A4230" s="57">
        <v>39659</v>
      </c>
      <c r="B4230">
        <v>1.5589</v>
      </c>
    </row>
    <row r="4231" spans="1:2" x14ac:dyDescent="0.2">
      <c r="A4231" s="57">
        <v>39658</v>
      </c>
      <c r="B4231">
        <v>1.5705</v>
      </c>
    </row>
    <row r="4232" spans="1:2" x14ac:dyDescent="0.2">
      <c r="A4232" s="57">
        <v>39657</v>
      </c>
      <c r="B4232">
        <v>1.5746</v>
      </c>
    </row>
    <row r="4233" spans="1:2" x14ac:dyDescent="0.2">
      <c r="A4233" s="57">
        <v>39656</v>
      </c>
    </row>
    <row r="4234" spans="1:2" x14ac:dyDescent="0.2">
      <c r="A4234" s="57">
        <v>39655</v>
      </c>
    </row>
    <row r="4235" spans="1:2" x14ac:dyDescent="0.2">
      <c r="A4235" s="57">
        <v>39654</v>
      </c>
      <c r="B4235">
        <v>1.5733999999999999</v>
      </c>
    </row>
    <row r="4236" spans="1:2" x14ac:dyDescent="0.2">
      <c r="A4236" s="57">
        <v>39653</v>
      </c>
      <c r="B4236">
        <v>1.5677000000000001</v>
      </c>
    </row>
    <row r="4237" spans="1:2" x14ac:dyDescent="0.2">
      <c r="A4237" s="57">
        <v>39652</v>
      </c>
      <c r="B4237">
        <v>1.5741000000000001</v>
      </c>
    </row>
    <row r="4238" spans="1:2" x14ac:dyDescent="0.2">
      <c r="A4238" s="57">
        <v>39651</v>
      </c>
      <c r="B4238">
        <v>1.5919000000000001</v>
      </c>
    </row>
    <row r="4239" spans="1:2" x14ac:dyDescent="0.2">
      <c r="A4239" s="57">
        <v>39650</v>
      </c>
      <c r="B4239">
        <v>1.5858000000000001</v>
      </c>
    </row>
    <row r="4240" spans="1:2" x14ac:dyDescent="0.2">
      <c r="A4240" s="57">
        <v>39649</v>
      </c>
    </row>
    <row r="4241" spans="1:2" x14ac:dyDescent="0.2">
      <c r="A4241" s="57">
        <v>39648</v>
      </c>
    </row>
    <row r="4242" spans="1:2" x14ac:dyDescent="0.2">
      <c r="A4242" s="57">
        <v>39647</v>
      </c>
      <c r="B4242">
        <v>1.5815999999999999</v>
      </c>
    </row>
    <row r="4243" spans="1:2" x14ac:dyDescent="0.2">
      <c r="A4243" s="57">
        <v>39646</v>
      </c>
      <c r="B4243">
        <v>1.5849</v>
      </c>
    </row>
    <row r="4244" spans="1:2" x14ac:dyDescent="0.2">
      <c r="A4244" s="57">
        <v>39645</v>
      </c>
      <c r="B4244">
        <v>1.5888</v>
      </c>
    </row>
    <row r="4245" spans="1:2" x14ac:dyDescent="0.2">
      <c r="A4245" s="57">
        <v>39644</v>
      </c>
      <c r="B4245">
        <v>1.599</v>
      </c>
    </row>
    <row r="4246" spans="1:2" x14ac:dyDescent="0.2">
      <c r="A4246" s="57">
        <v>39643</v>
      </c>
      <c r="B4246">
        <v>1.5847</v>
      </c>
    </row>
    <row r="4247" spans="1:2" x14ac:dyDescent="0.2">
      <c r="A4247" s="57">
        <v>39642</v>
      </c>
    </row>
    <row r="4248" spans="1:2" x14ac:dyDescent="0.2">
      <c r="A4248" s="57">
        <v>39641</v>
      </c>
    </row>
    <row r="4249" spans="1:2" x14ac:dyDescent="0.2">
      <c r="A4249" s="57">
        <v>39640</v>
      </c>
      <c r="B4249">
        <v>1.5834999999999999</v>
      </c>
    </row>
    <row r="4250" spans="1:2" x14ac:dyDescent="0.2">
      <c r="A4250" s="57">
        <v>39639</v>
      </c>
      <c r="B4250">
        <v>1.5708</v>
      </c>
    </row>
    <row r="4251" spans="1:2" x14ac:dyDescent="0.2">
      <c r="A4251" s="57">
        <v>39638</v>
      </c>
      <c r="B4251">
        <v>1.5714999999999999</v>
      </c>
    </row>
    <row r="4252" spans="1:2" x14ac:dyDescent="0.2">
      <c r="A4252" s="57">
        <v>39637</v>
      </c>
      <c r="B4252">
        <v>1.5687</v>
      </c>
    </row>
    <row r="4253" spans="1:2" x14ac:dyDescent="0.2">
      <c r="A4253" s="57">
        <v>39636</v>
      </c>
      <c r="B4253">
        <v>1.5650999999999999</v>
      </c>
    </row>
    <row r="4254" spans="1:2" x14ac:dyDescent="0.2">
      <c r="A4254" s="57">
        <v>39635</v>
      </c>
    </row>
    <row r="4255" spans="1:2" x14ac:dyDescent="0.2">
      <c r="A4255" s="57">
        <v>39634</v>
      </c>
    </row>
    <row r="4256" spans="1:2" x14ac:dyDescent="0.2">
      <c r="A4256" s="57">
        <v>39633</v>
      </c>
      <c r="B4256">
        <v>1.5670999999999999</v>
      </c>
    </row>
    <row r="4257" spans="1:2" x14ac:dyDescent="0.2">
      <c r="A4257" s="57">
        <v>39632</v>
      </c>
      <c r="B4257">
        <v>1.5885</v>
      </c>
    </row>
    <row r="4258" spans="1:2" x14ac:dyDescent="0.2">
      <c r="A4258" s="57">
        <v>39631</v>
      </c>
      <c r="B4258">
        <v>1.5806</v>
      </c>
    </row>
    <row r="4259" spans="1:2" x14ac:dyDescent="0.2">
      <c r="A4259" s="57">
        <v>39630</v>
      </c>
      <c r="B4259">
        <v>1.5774999999999999</v>
      </c>
    </row>
    <row r="4260" spans="1:2" x14ac:dyDescent="0.2">
      <c r="A4260" s="57">
        <v>39629</v>
      </c>
      <c r="B4260">
        <v>1.5764</v>
      </c>
    </row>
    <row r="4261" spans="1:2" x14ac:dyDescent="0.2">
      <c r="A4261" s="57">
        <v>39628</v>
      </c>
    </row>
    <row r="4262" spans="1:2" x14ac:dyDescent="0.2">
      <c r="A4262" s="57">
        <v>39627</v>
      </c>
    </row>
    <row r="4263" spans="1:2" x14ac:dyDescent="0.2">
      <c r="A4263" s="57">
        <v>39626</v>
      </c>
      <c r="B4263">
        <v>1.5748</v>
      </c>
    </row>
    <row r="4264" spans="1:2" x14ac:dyDescent="0.2">
      <c r="A4264" s="57">
        <v>39625</v>
      </c>
      <c r="B4264">
        <v>1.5730999999999999</v>
      </c>
    </row>
    <row r="4265" spans="1:2" x14ac:dyDescent="0.2">
      <c r="A4265" s="57">
        <v>39624</v>
      </c>
      <c r="B4265">
        <v>1.5599000000000001</v>
      </c>
    </row>
    <row r="4266" spans="1:2" x14ac:dyDescent="0.2">
      <c r="A4266" s="57">
        <v>39623</v>
      </c>
      <c r="B4266">
        <v>1.5568</v>
      </c>
    </row>
    <row r="4267" spans="1:2" x14ac:dyDescent="0.2">
      <c r="A4267" s="57">
        <v>39622</v>
      </c>
      <c r="B4267">
        <v>1.5521</v>
      </c>
    </row>
    <row r="4268" spans="1:2" x14ac:dyDescent="0.2">
      <c r="A4268" s="57">
        <v>39621</v>
      </c>
    </row>
    <row r="4269" spans="1:2" x14ac:dyDescent="0.2">
      <c r="A4269" s="57">
        <v>39620</v>
      </c>
    </row>
    <row r="4270" spans="1:2" x14ac:dyDescent="0.2">
      <c r="A4270" s="57">
        <v>39619</v>
      </c>
      <c r="B4270">
        <v>1.5609999999999999</v>
      </c>
    </row>
    <row r="4271" spans="1:2" x14ac:dyDescent="0.2">
      <c r="A4271" s="57">
        <v>39618</v>
      </c>
      <c r="B4271">
        <v>1.5481</v>
      </c>
    </row>
    <row r="4272" spans="1:2" x14ac:dyDescent="0.2">
      <c r="A4272" s="57">
        <v>39617</v>
      </c>
      <c r="B4272">
        <v>1.5492999999999999</v>
      </c>
    </row>
    <row r="4273" spans="1:2" x14ac:dyDescent="0.2">
      <c r="A4273" s="57">
        <v>39616</v>
      </c>
      <c r="B4273">
        <v>1.5477000000000001</v>
      </c>
    </row>
    <row r="4274" spans="1:2" x14ac:dyDescent="0.2">
      <c r="A4274" s="57">
        <v>39615</v>
      </c>
      <c r="B4274">
        <v>1.5459000000000001</v>
      </c>
    </row>
    <row r="4275" spans="1:2" x14ac:dyDescent="0.2">
      <c r="A4275" s="57">
        <v>39614</v>
      </c>
    </row>
    <row r="4276" spans="1:2" x14ac:dyDescent="0.2">
      <c r="A4276" s="57">
        <v>39613</v>
      </c>
    </row>
    <row r="4277" spans="1:2" x14ac:dyDescent="0.2">
      <c r="A4277" s="57">
        <v>39612</v>
      </c>
      <c r="B4277">
        <v>1.5336000000000001</v>
      </c>
    </row>
    <row r="4278" spans="1:2" x14ac:dyDescent="0.2">
      <c r="A4278" s="57">
        <v>39611</v>
      </c>
      <c r="B4278">
        <v>1.5417000000000001</v>
      </c>
    </row>
    <row r="4279" spans="1:2" x14ac:dyDescent="0.2">
      <c r="A4279" s="57">
        <v>39610</v>
      </c>
      <c r="B4279">
        <v>1.5515000000000001</v>
      </c>
    </row>
    <row r="4280" spans="1:2" x14ac:dyDescent="0.2">
      <c r="A4280" s="57">
        <v>39609</v>
      </c>
      <c r="B4280">
        <v>1.5526</v>
      </c>
    </row>
    <row r="4281" spans="1:2" x14ac:dyDescent="0.2">
      <c r="A4281" s="57">
        <v>39608</v>
      </c>
      <c r="B4281">
        <v>1.5784</v>
      </c>
    </row>
    <row r="4282" spans="1:2" x14ac:dyDescent="0.2">
      <c r="A4282" s="57">
        <v>39607</v>
      </c>
    </row>
    <row r="4283" spans="1:2" x14ac:dyDescent="0.2">
      <c r="A4283" s="57">
        <v>39606</v>
      </c>
    </row>
    <row r="4284" spans="1:2" x14ac:dyDescent="0.2">
      <c r="A4284" s="57">
        <v>39605</v>
      </c>
      <c r="B4284">
        <v>1.5597000000000001</v>
      </c>
    </row>
    <row r="4285" spans="1:2" x14ac:dyDescent="0.2">
      <c r="A4285" s="57">
        <v>39604</v>
      </c>
      <c r="B4285">
        <v>1.5402</v>
      </c>
    </row>
    <row r="4286" spans="1:2" x14ac:dyDescent="0.2">
      <c r="A4286" s="57">
        <v>39603</v>
      </c>
      <c r="B4286">
        <v>1.5466</v>
      </c>
    </row>
    <row r="4287" spans="1:2" x14ac:dyDescent="0.2">
      <c r="A4287" s="57">
        <v>39602</v>
      </c>
      <c r="B4287">
        <v>1.5592999999999999</v>
      </c>
    </row>
    <row r="4288" spans="1:2" x14ac:dyDescent="0.2">
      <c r="A4288" s="57">
        <v>39601</v>
      </c>
      <c r="B4288">
        <v>1.5521</v>
      </c>
    </row>
    <row r="4289" spans="1:2" x14ac:dyDescent="0.2">
      <c r="A4289" s="57">
        <v>39600</v>
      </c>
    </row>
    <row r="4290" spans="1:2" x14ac:dyDescent="0.2">
      <c r="A4290" s="57">
        <v>39599</v>
      </c>
    </row>
    <row r="4291" spans="1:2" x14ac:dyDescent="0.2">
      <c r="A4291" s="57">
        <v>39598</v>
      </c>
      <c r="B4291">
        <v>1.5508</v>
      </c>
    </row>
    <row r="4292" spans="1:2" x14ac:dyDescent="0.2">
      <c r="A4292" s="57">
        <v>39597</v>
      </c>
      <c r="B4292">
        <v>1.5550999999999999</v>
      </c>
    </row>
    <row r="4293" spans="1:2" x14ac:dyDescent="0.2">
      <c r="A4293" s="57">
        <v>39596</v>
      </c>
      <c r="B4293">
        <v>1.5656000000000001</v>
      </c>
    </row>
    <row r="4294" spans="1:2" x14ac:dyDescent="0.2">
      <c r="A4294" s="57">
        <v>39595</v>
      </c>
      <c r="B4294">
        <v>1.5760000000000001</v>
      </c>
    </row>
    <row r="4295" spans="1:2" x14ac:dyDescent="0.2">
      <c r="A4295" s="57">
        <v>39594</v>
      </c>
      <c r="B4295">
        <v>1.5761000000000001</v>
      </c>
    </row>
    <row r="4296" spans="1:2" x14ac:dyDescent="0.2">
      <c r="A4296" s="57">
        <v>39593</v>
      </c>
    </row>
    <row r="4297" spans="1:2" x14ac:dyDescent="0.2">
      <c r="A4297" s="57">
        <v>39592</v>
      </c>
    </row>
    <row r="4298" spans="1:2" x14ac:dyDescent="0.2">
      <c r="A4298" s="57">
        <v>39591</v>
      </c>
      <c r="B4298">
        <v>1.5742</v>
      </c>
    </row>
    <row r="4299" spans="1:2" x14ac:dyDescent="0.2">
      <c r="A4299" s="57">
        <v>39590</v>
      </c>
      <c r="B4299">
        <v>1.5754999999999999</v>
      </c>
    </row>
    <row r="4300" spans="1:2" x14ac:dyDescent="0.2">
      <c r="A4300" s="57">
        <v>39589</v>
      </c>
      <c r="B4300">
        <v>1.5752999999999999</v>
      </c>
    </row>
    <row r="4301" spans="1:2" x14ac:dyDescent="0.2">
      <c r="A4301" s="57">
        <v>39588</v>
      </c>
      <c r="B4301">
        <v>1.5639000000000001</v>
      </c>
    </row>
    <row r="4302" spans="1:2" x14ac:dyDescent="0.2">
      <c r="A4302" s="57">
        <v>39587</v>
      </c>
      <c r="B4302">
        <v>1.5577000000000001</v>
      </c>
    </row>
    <row r="4303" spans="1:2" x14ac:dyDescent="0.2">
      <c r="A4303" s="57">
        <v>39586</v>
      </c>
    </row>
    <row r="4304" spans="1:2" x14ac:dyDescent="0.2">
      <c r="A4304" s="57">
        <v>39585</v>
      </c>
    </row>
    <row r="4305" spans="1:2" x14ac:dyDescent="0.2">
      <c r="A4305" s="57">
        <v>39584</v>
      </c>
      <c r="B4305">
        <v>1.5498000000000001</v>
      </c>
    </row>
    <row r="4306" spans="1:2" x14ac:dyDescent="0.2">
      <c r="A4306" s="57">
        <v>39583</v>
      </c>
      <c r="B4306">
        <v>1.5474000000000001</v>
      </c>
    </row>
    <row r="4307" spans="1:2" x14ac:dyDescent="0.2">
      <c r="A4307" s="57">
        <v>39582</v>
      </c>
      <c r="B4307">
        <v>1.5439000000000001</v>
      </c>
    </row>
    <row r="4308" spans="1:2" x14ac:dyDescent="0.2">
      <c r="A4308" s="57">
        <v>39581</v>
      </c>
      <c r="B4308">
        <v>1.5472999999999999</v>
      </c>
    </row>
    <row r="4309" spans="1:2" x14ac:dyDescent="0.2">
      <c r="A4309" s="57">
        <v>39580</v>
      </c>
      <c r="B4309">
        <v>1.5429999999999999</v>
      </c>
    </row>
    <row r="4310" spans="1:2" x14ac:dyDescent="0.2">
      <c r="A4310" s="57">
        <v>39579</v>
      </c>
    </row>
    <row r="4311" spans="1:2" x14ac:dyDescent="0.2">
      <c r="A4311" s="57">
        <v>39578</v>
      </c>
    </row>
    <row r="4312" spans="1:2" x14ac:dyDescent="0.2">
      <c r="A4312" s="57">
        <v>39577</v>
      </c>
      <c r="B4312">
        <v>1.5458000000000001</v>
      </c>
    </row>
    <row r="4313" spans="1:2" x14ac:dyDescent="0.2">
      <c r="A4313" s="57">
        <v>39576</v>
      </c>
      <c r="B4313">
        <v>1.5347</v>
      </c>
    </row>
    <row r="4314" spans="1:2" x14ac:dyDescent="0.2">
      <c r="A4314" s="57">
        <v>39575</v>
      </c>
      <c r="B4314">
        <v>1.5429999999999999</v>
      </c>
    </row>
    <row r="4315" spans="1:2" x14ac:dyDescent="0.2">
      <c r="A4315" s="57">
        <v>39574</v>
      </c>
      <c r="B4315">
        <v>1.5528</v>
      </c>
    </row>
    <row r="4316" spans="1:2" x14ac:dyDescent="0.2">
      <c r="A4316" s="57">
        <v>39573</v>
      </c>
      <c r="B4316">
        <v>1.546</v>
      </c>
    </row>
    <row r="4317" spans="1:2" x14ac:dyDescent="0.2">
      <c r="A4317" s="57">
        <v>39572</v>
      </c>
    </row>
    <row r="4318" spans="1:2" x14ac:dyDescent="0.2">
      <c r="A4318" s="57">
        <v>39571</v>
      </c>
    </row>
    <row r="4319" spans="1:2" x14ac:dyDescent="0.2">
      <c r="A4319" s="57">
        <v>39570</v>
      </c>
      <c r="B4319">
        <v>1.5458000000000001</v>
      </c>
    </row>
    <row r="4320" spans="1:2" x14ac:dyDescent="0.2">
      <c r="A4320" s="57">
        <v>39569</v>
      </c>
    </row>
    <row r="4321" spans="1:2" x14ac:dyDescent="0.2">
      <c r="A4321" s="57">
        <v>39568</v>
      </c>
      <c r="B4321">
        <v>1.554</v>
      </c>
    </row>
    <row r="4322" spans="1:2" x14ac:dyDescent="0.2">
      <c r="A4322" s="57">
        <v>39567</v>
      </c>
      <c r="B4322">
        <v>1.5570999999999999</v>
      </c>
    </row>
    <row r="4323" spans="1:2" x14ac:dyDescent="0.2">
      <c r="A4323" s="57">
        <v>39566</v>
      </c>
      <c r="B4323">
        <v>1.5628</v>
      </c>
    </row>
    <row r="4324" spans="1:2" x14ac:dyDescent="0.2">
      <c r="A4324" s="57">
        <v>39565</v>
      </c>
    </row>
    <row r="4325" spans="1:2" x14ac:dyDescent="0.2">
      <c r="A4325" s="57">
        <v>39564</v>
      </c>
    </row>
    <row r="4326" spans="1:2" x14ac:dyDescent="0.2">
      <c r="A4326" s="57">
        <v>39563</v>
      </c>
      <c r="B4326">
        <v>1.5596000000000001</v>
      </c>
    </row>
    <row r="4327" spans="1:2" x14ac:dyDescent="0.2">
      <c r="A4327" s="57">
        <v>39562</v>
      </c>
      <c r="B4327">
        <v>1.5769</v>
      </c>
    </row>
    <row r="4328" spans="1:2" x14ac:dyDescent="0.2">
      <c r="A4328" s="57">
        <v>39561</v>
      </c>
      <c r="B4328">
        <v>1.5940000000000001</v>
      </c>
    </row>
    <row r="4329" spans="1:2" x14ac:dyDescent="0.2">
      <c r="A4329" s="57">
        <v>39560</v>
      </c>
      <c r="B4329">
        <v>1.5931</v>
      </c>
    </row>
    <row r="4330" spans="1:2" x14ac:dyDescent="0.2">
      <c r="A4330" s="57">
        <v>39559</v>
      </c>
      <c r="B4330">
        <v>1.5898000000000001</v>
      </c>
    </row>
    <row r="4331" spans="1:2" x14ac:dyDescent="0.2">
      <c r="A4331" s="57">
        <v>39558</v>
      </c>
    </row>
    <row r="4332" spans="1:2" x14ac:dyDescent="0.2">
      <c r="A4332" s="57">
        <v>39557</v>
      </c>
    </row>
    <row r="4333" spans="1:2" x14ac:dyDescent="0.2">
      <c r="A4333" s="57">
        <v>39556</v>
      </c>
      <c r="B4333">
        <v>1.5780000000000001</v>
      </c>
    </row>
    <row r="4334" spans="1:2" x14ac:dyDescent="0.2">
      <c r="A4334" s="57">
        <v>39555</v>
      </c>
      <c r="B4334">
        <v>1.5871999999999999</v>
      </c>
    </row>
    <row r="4335" spans="1:2" x14ac:dyDescent="0.2">
      <c r="A4335" s="57">
        <v>39554</v>
      </c>
      <c r="B4335">
        <v>1.5928</v>
      </c>
    </row>
    <row r="4336" spans="1:2" x14ac:dyDescent="0.2">
      <c r="A4336" s="57">
        <v>39553</v>
      </c>
      <c r="B4336">
        <v>1.5828</v>
      </c>
    </row>
    <row r="4337" spans="1:2" x14ac:dyDescent="0.2">
      <c r="A4337" s="57">
        <v>39552</v>
      </c>
      <c r="B4337">
        <v>1.5869</v>
      </c>
    </row>
    <row r="4338" spans="1:2" x14ac:dyDescent="0.2">
      <c r="A4338" s="57">
        <v>39551</v>
      </c>
    </row>
    <row r="4339" spans="1:2" x14ac:dyDescent="0.2">
      <c r="A4339" s="57">
        <v>39550</v>
      </c>
    </row>
    <row r="4340" spans="1:2" x14ac:dyDescent="0.2">
      <c r="A4340" s="57">
        <v>39549</v>
      </c>
      <c r="B4340">
        <v>1.5832999999999999</v>
      </c>
    </row>
    <row r="4341" spans="1:2" x14ac:dyDescent="0.2">
      <c r="A4341" s="57">
        <v>39548</v>
      </c>
      <c r="B4341">
        <v>1.5874999999999999</v>
      </c>
    </row>
    <row r="4342" spans="1:2" x14ac:dyDescent="0.2">
      <c r="A4342" s="57">
        <v>39547</v>
      </c>
      <c r="B4342">
        <v>1.5726</v>
      </c>
    </row>
    <row r="4343" spans="1:2" x14ac:dyDescent="0.2">
      <c r="A4343" s="57">
        <v>39546</v>
      </c>
      <c r="B4343">
        <v>1.5693999999999999</v>
      </c>
    </row>
    <row r="4344" spans="1:2" x14ac:dyDescent="0.2">
      <c r="A4344" s="57">
        <v>39545</v>
      </c>
      <c r="B4344">
        <v>1.5692999999999999</v>
      </c>
    </row>
    <row r="4345" spans="1:2" x14ac:dyDescent="0.2">
      <c r="A4345" s="57">
        <v>39544</v>
      </c>
    </row>
    <row r="4346" spans="1:2" x14ac:dyDescent="0.2">
      <c r="A4346" s="57">
        <v>39543</v>
      </c>
    </row>
    <row r="4347" spans="1:2" x14ac:dyDescent="0.2">
      <c r="A4347" s="57">
        <v>39542</v>
      </c>
      <c r="B4347">
        <v>1.5722</v>
      </c>
    </row>
    <row r="4348" spans="1:2" x14ac:dyDescent="0.2">
      <c r="A4348" s="57">
        <v>39541</v>
      </c>
      <c r="B4348">
        <v>1.5526</v>
      </c>
    </row>
    <row r="4349" spans="1:2" x14ac:dyDescent="0.2">
      <c r="A4349" s="57">
        <v>39540</v>
      </c>
      <c r="B4349">
        <v>1.5631999999999999</v>
      </c>
    </row>
    <row r="4350" spans="1:2" x14ac:dyDescent="0.2">
      <c r="A4350" s="57">
        <v>39539</v>
      </c>
      <c r="B4350">
        <v>1.5660000000000001</v>
      </c>
    </row>
    <row r="4351" spans="1:2" x14ac:dyDescent="0.2">
      <c r="A4351" s="57">
        <v>39538</v>
      </c>
      <c r="B4351">
        <v>1.5811999999999999</v>
      </c>
    </row>
    <row r="4352" spans="1:2" x14ac:dyDescent="0.2">
      <c r="A4352" s="57">
        <v>39537</v>
      </c>
    </row>
    <row r="4353" spans="1:2" x14ac:dyDescent="0.2">
      <c r="A4353" s="57">
        <v>39536</v>
      </c>
    </row>
    <row r="4354" spans="1:2" x14ac:dyDescent="0.2">
      <c r="A4354" s="57">
        <v>39535</v>
      </c>
      <c r="B4354">
        <v>1.5795999999999999</v>
      </c>
    </row>
    <row r="4355" spans="1:2" x14ac:dyDescent="0.2">
      <c r="A4355" s="57">
        <v>39534</v>
      </c>
      <c r="B4355">
        <v>1.5786</v>
      </c>
    </row>
    <row r="4356" spans="1:2" x14ac:dyDescent="0.2">
      <c r="A4356" s="57">
        <v>39533</v>
      </c>
      <c r="B4356">
        <v>1.571</v>
      </c>
    </row>
    <row r="4357" spans="1:2" x14ac:dyDescent="0.2">
      <c r="A4357" s="57">
        <v>39532</v>
      </c>
      <c r="B4357">
        <v>1.5569</v>
      </c>
    </row>
    <row r="4358" spans="1:2" x14ac:dyDescent="0.2">
      <c r="A4358" s="57">
        <v>39531</v>
      </c>
    </row>
    <row r="4359" spans="1:2" x14ac:dyDescent="0.2">
      <c r="A4359" s="57">
        <v>39530</v>
      </c>
    </row>
    <row r="4360" spans="1:2" x14ac:dyDescent="0.2">
      <c r="A4360" s="57">
        <v>39529</v>
      </c>
    </row>
    <row r="4361" spans="1:2" x14ac:dyDescent="0.2">
      <c r="A4361" s="57">
        <v>39528</v>
      </c>
    </row>
    <row r="4362" spans="1:2" x14ac:dyDescent="0.2">
      <c r="A4362" s="57">
        <v>39527</v>
      </c>
      <c r="B4362">
        <v>1.5423</v>
      </c>
    </row>
    <row r="4363" spans="1:2" x14ac:dyDescent="0.2">
      <c r="A4363" s="57">
        <v>39526</v>
      </c>
      <c r="B4363">
        <v>1.5691999999999999</v>
      </c>
    </row>
    <row r="4364" spans="1:2" x14ac:dyDescent="0.2">
      <c r="A4364" s="57">
        <v>39525</v>
      </c>
      <c r="B4364">
        <v>1.5770999999999999</v>
      </c>
    </row>
    <row r="4365" spans="1:2" x14ac:dyDescent="0.2">
      <c r="A4365" s="57">
        <v>39524</v>
      </c>
      <c r="B4365">
        <v>1.577</v>
      </c>
    </row>
    <row r="4366" spans="1:2" x14ac:dyDescent="0.2">
      <c r="A4366" s="57">
        <v>39523</v>
      </c>
    </row>
    <row r="4367" spans="1:2" x14ac:dyDescent="0.2">
      <c r="A4367" s="57">
        <v>39522</v>
      </c>
    </row>
    <row r="4368" spans="1:2" x14ac:dyDescent="0.2">
      <c r="A4368" s="57">
        <v>39521</v>
      </c>
      <c r="B4368">
        <v>1.5561</v>
      </c>
    </row>
    <row r="4369" spans="1:2" x14ac:dyDescent="0.2">
      <c r="A4369" s="57">
        <v>39520</v>
      </c>
      <c r="B4369">
        <v>1.5577000000000001</v>
      </c>
    </row>
    <row r="4370" spans="1:2" x14ac:dyDescent="0.2">
      <c r="A4370" s="57">
        <v>39519</v>
      </c>
      <c r="B4370">
        <v>1.5477000000000001</v>
      </c>
    </row>
    <row r="4371" spans="1:2" x14ac:dyDescent="0.2">
      <c r="A4371" s="57">
        <v>39518</v>
      </c>
      <c r="B4371">
        <v>1.5379</v>
      </c>
    </row>
    <row r="4372" spans="1:2" x14ac:dyDescent="0.2">
      <c r="A4372" s="57">
        <v>39517</v>
      </c>
      <c r="B4372">
        <v>1.534</v>
      </c>
    </row>
    <row r="4373" spans="1:2" x14ac:dyDescent="0.2">
      <c r="A4373" s="57">
        <v>39516</v>
      </c>
    </row>
    <row r="4374" spans="1:2" x14ac:dyDescent="0.2">
      <c r="A4374" s="57">
        <v>39515</v>
      </c>
    </row>
    <row r="4375" spans="1:2" x14ac:dyDescent="0.2">
      <c r="A4375" s="57">
        <v>39514</v>
      </c>
      <c r="B4375">
        <v>1.5417000000000001</v>
      </c>
    </row>
    <row r="4376" spans="1:2" x14ac:dyDescent="0.2">
      <c r="A4376" s="57">
        <v>39513</v>
      </c>
      <c r="B4376">
        <v>1.5319</v>
      </c>
    </row>
    <row r="4377" spans="1:2" x14ac:dyDescent="0.2">
      <c r="A4377" s="57">
        <v>39512</v>
      </c>
      <c r="B4377">
        <v>1.5196000000000001</v>
      </c>
    </row>
    <row r="4378" spans="1:2" x14ac:dyDescent="0.2">
      <c r="A4378" s="57">
        <v>39511</v>
      </c>
      <c r="B4378">
        <v>1.5206</v>
      </c>
    </row>
    <row r="4379" spans="1:2" x14ac:dyDescent="0.2">
      <c r="A4379" s="57">
        <v>39510</v>
      </c>
      <c r="B4379">
        <v>1.5203</v>
      </c>
    </row>
    <row r="4380" spans="1:2" x14ac:dyDescent="0.2">
      <c r="A4380" s="57">
        <v>39509</v>
      </c>
    </row>
    <row r="4381" spans="1:2" x14ac:dyDescent="0.2">
      <c r="A4381" s="57">
        <v>39508</v>
      </c>
    </row>
    <row r="4382" spans="1:2" x14ac:dyDescent="0.2">
      <c r="A4382" s="57">
        <v>39507</v>
      </c>
      <c r="B4382">
        <v>1.5166999999999999</v>
      </c>
    </row>
    <row r="4383" spans="1:2" x14ac:dyDescent="0.2">
      <c r="A4383" s="57">
        <v>39506</v>
      </c>
      <c r="B4383">
        <v>1.5121</v>
      </c>
    </row>
    <row r="4384" spans="1:2" x14ac:dyDescent="0.2">
      <c r="A4384" s="57">
        <v>39505</v>
      </c>
      <c r="B4384">
        <v>1.5044</v>
      </c>
    </row>
    <row r="4385" spans="1:2" x14ac:dyDescent="0.2">
      <c r="A4385" s="57">
        <v>39504</v>
      </c>
      <c r="B4385">
        <v>1.4874000000000001</v>
      </c>
    </row>
    <row r="4386" spans="1:2" x14ac:dyDescent="0.2">
      <c r="A4386" s="57">
        <v>39503</v>
      </c>
      <c r="B4386">
        <v>1.4817</v>
      </c>
    </row>
    <row r="4387" spans="1:2" x14ac:dyDescent="0.2">
      <c r="A4387" s="57">
        <v>39502</v>
      </c>
    </row>
    <row r="4388" spans="1:2" x14ac:dyDescent="0.2">
      <c r="A4388" s="57">
        <v>39501</v>
      </c>
    </row>
    <row r="4389" spans="1:2" x14ac:dyDescent="0.2">
      <c r="A4389" s="57">
        <v>39500</v>
      </c>
      <c r="B4389">
        <v>1.4847999999999999</v>
      </c>
    </row>
    <row r="4390" spans="1:2" x14ac:dyDescent="0.2">
      <c r="A4390" s="57">
        <v>39499</v>
      </c>
      <c r="B4390">
        <v>1.4736</v>
      </c>
    </row>
    <row r="4391" spans="1:2" x14ac:dyDescent="0.2">
      <c r="A4391" s="57">
        <v>39498</v>
      </c>
      <c r="B4391">
        <v>1.4656</v>
      </c>
    </row>
    <row r="4392" spans="1:2" x14ac:dyDescent="0.2">
      <c r="A4392" s="57">
        <v>39497</v>
      </c>
      <c r="B4392">
        <v>1.4742</v>
      </c>
    </row>
    <row r="4393" spans="1:2" x14ac:dyDescent="0.2">
      <c r="A4393" s="57">
        <v>39496</v>
      </c>
      <c r="B4393">
        <v>1.4636</v>
      </c>
    </row>
    <row r="4394" spans="1:2" x14ac:dyDescent="0.2">
      <c r="A4394" s="57">
        <v>39495</v>
      </c>
    </row>
    <row r="4395" spans="1:2" x14ac:dyDescent="0.2">
      <c r="A4395" s="57">
        <v>39494</v>
      </c>
    </row>
    <row r="4396" spans="1:2" x14ac:dyDescent="0.2">
      <c r="A4396" s="57">
        <v>39493</v>
      </c>
      <c r="B4396">
        <v>1.4674</v>
      </c>
    </row>
    <row r="4397" spans="1:2" x14ac:dyDescent="0.2">
      <c r="A4397" s="57">
        <v>39492</v>
      </c>
      <c r="B4397">
        <v>1.4625999999999999</v>
      </c>
    </row>
    <row r="4398" spans="1:2" x14ac:dyDescent="0.2">
      <c r="A4398" s="57">
        <v>39491</v>
      </c>
      <c r="B4398">
        <v>1.4585999999999999</v>
      </c>
    </row>
    <row r="4399" spans="1:2" x14ac:dyDescent="0.2">
      <c r="A4399" s="57">
        <v>39490</v>
      </c>
      <c r="B4399">
        <v>1.4538</v>
      </c>
    </row>
    <row r="4400" spans="1:2" x14ac:dyDescent="0.2">
      <c r="A4400" s="57">
        <v>39489</v>
      </c>
      <c r="B4400">
        <v>1.4541999999999999</v>
      </c>
    </row>
    <row r="4401" spans="1:2" x14ac:dyDescent="0.2">
      <c r="A4401" s="57">
        <v>39488</v>
      </c>
    </row>
    <row r="4402" spans="1:2" x14ac:dyDescent="0.2">
      <c r="A4402" s="57">
        <v>39487</v>
      </c>
    </row>
    <row r="4403" spans="1:2" x14ac:dyDescent="0.2">
      <c r="A4403" s="57">
        <v>39486</v>
      </c>
      <c r="B4403">
        <v>1.4513</v>
      </c>
    </row>
    <row r="4404" spans="1:2" x14ac:dyDescent="0.2">
      <c r="A4404" s="57">
        <v>39485</v>
      </c>
      <c r="B4404">
        <v>1.4569000000000001</v>
      </c>
    </row>
    <row r="4405" spans="1:2" x14ac:dyDescent="0.2">
      <c r="A4405" s="57">
        <v>39484</v>
      </c>
      <c r="B4405">
        <v>1.4621</v>
      </c>
    </row>
    <row r="4406" spans="1:2" x14ac:dyDescent="0.2">
      <c r="A4406" s="57">
        <v>39483</v>
      </c>
      <c r="B4406">
        <v>1.4688000000000001</v>
      </c>
    </row>
    <row r="4407" spans="1:2" x14ac:dyDescent="0.2">
      <c r="A4407" s="57">
        <v>39482</v>
      </c>
      <c r="B4407">
        <v>1.4829000000000001</v>
      </c>
    </row>
    <row r="4408" spans="1:2" x14ac:dyDescent="0.2">
      <c r="A4408" s="57">
        <v>39481</v>
      </c>
    </row>
    <row r="4409" spans="1:2" x14ac:dyDescent="0.2">
      <c r="A4409" s="57">
        <v>39480</v>
      </c>
    </row>
    <row r="4410" spans="1:2" x14ac:dyDescent="0.2">
      <c r="A4410" s="57">
        <v>39479</v>
      </c>
      <c r="B4410">
        <v>1.4888999999999999</v>
      </c>
    </row>
    <row r="4411" spans="1:2" x14ac:dyDescent="0.2">
      <c r="A4411" s="57">
        <v>39478</v>
      </c>
      <c r="B4411">
        <v>1.4870000000000001</v>
      </c>
    </row>
    <row r="4412" spans="1:2" x14ac:dyDescent="0.2">
      <c r="A4412" s="57">
        <v>39477</v>
      </c>
      <c r="B4412">
        <v>1.4810000000000001</v>
      </c>
    </row>
    <row r="4413" spans="1:2" x14ac:dyDescent="0.2">
      <c r="A4413" s="57">
        <v>39476</v>
      </c>
      <c r="B4413">
        <v>1.4773000000000001</v>
      </c>
    </row>
    <row r="4414" spans="1:2" x14ac:dyDescent="0.2">
      <c r="A4414" s="57">
        <v>39475</v>
      </c>
      <c r="B4414">
        <v>1.4755</v>
      </c>
    </row>
    <row r="4415" spans="1:2" x14ac:dyDescent="0.2">
      <c r="A4415" s="57">
        <v>39474</v>
      </c>
    </row>
    <row r="4416" spans="1:2" x14ac:dyDescent="0.2">
      <c r="A4416" s="57">
        <v>39473</v>
      </c>
    </row>
    <row r="4417" spans="1:2" x14ac:dyDescent="0.2">
      <c r="A4417" s="57">
        <v>39472</v>
      </c>
      <c r="B4417">
        <v>1.4704999999999999</v>
      </c>
    </row>
    <row r="4418" spans="1:2" x14ac:dyDescent="0.2">
      <c r="A4418" s="57">
        <v>39471</v>
      </c>
      <c r="B4418">
        <v>1.4662999999999999</v>
      </c>
    </row>
    <row r="4419" spans="1:2" x14ac:dyDescent="0.2">
      <c r="A4419" s="57">
        <v>39470</v>
      </c>
      <c r="B4419">
        <v>1.4574</v>
      </c>
    </row>
    <row r="4420" spans="1:2" x14ac:dyDescent="0.2">
      <c r="A4420" s="57">
        <v>39469</v>
      </c>
      <c r="B4420">
        <v>1.4494</v>
      </c>
    </row>
    <row r="4421" spans="1:2" x14ac:dyDescent="0.2">
      <c r="A4421" s="57">
        <v>39468</v>
      </c>
      <c r="B4421">
        <v>1.4481999999999999</v>
      </c>
    </row>
    <row r="4422" spans="1:2" x14ac:dyDescent="0.2">
      <c r="A4422" s="57">
        <v>39467</v>
      </c>
    </row>
    <row r="4423" spans="1:2" x14ac:dyDescent="0.2">
      <c r="A4423" s="57">
        <v>39466</v>
      </c>
    </row>
    <row r="4424" spans="1:2" x14ac:dyDescent="0.2">
      <c r="A4424" s="57">
        <v>39465</v>
      </c>
      <c r="B4424">
        <v>1.4674</v>
      </c>
    </row>
    <row r="4425" spans="1:2" x14ac:dyDescent="0.2">
      <c r="A4425" s="57">
        <v>39464</v>
      </c>
      <c r="B4425">
        <v>1.4691000000000001</v>
      </c>
    </row>
    <row r="4426" spans="1:2" x14ac:dyDescent="0.2">
      <c r="A4426" s="57">
        <v>39463</v>
      </c>
      <c r="B4426">
        <v>1.4792000000000001</v>
      </c>
    </row>
    <row r="4427" spans="1:2" x14ac:dyDescent="0.2">
      <c r="A4427" s="57">
        <v>39462</v>
      </c>
      <c r="B4427">
        <v>1.4885999999999999</v>
      </c>
    </row>
    <row r="4428" spans="1:2" x14ac:dyDescent="0.2">
      <c r="A4428" s="57">
        <v>39461</v>
      </c>
      <c r="B4428">
        <v>1.4895</v>
      </c>
    </row>
    <row r="4429" spans="1:2" x14ac:dyDescent="0.2">
      <c r="A4429" s="57">
        <v>39460</v>
      </c>
    </row>
    <row r="4430" spans="1:2" x14ac:dyDescent="0.2">
      <c r="A4430" s="57">
        <v>39459</v>
      </c>
    </row>
    <row r="4431" spans="1:2" x14ac:dyDescent="0.2">
      <c r="A4431" s="57">
        <v>39458</v>
      </c>
      <c r="B4431">
        <v>1.4792000000000001</v>
      </c>
    </row>
    <row r="4432" spans="1:2" x14ac:dyDescent="0.2">
      <c r="A4432" s="57">
        <v>39457</v>
      </c>
      <c r="B4432">
        <v>1.4661999999999999</v>
      </c>
    </row>
    <row r="4433" spans="1:2" x14ac:dyDescent="0.2">
      <c r="A4433" s="57">
        <v>39456</v>
      </c>
      <c r="B4433">
        <v>1.468</v>
      </c>
    </row>
    <row r="4434" spans="1:2" x14ac:dyDescent="0.2">
      <c r="A4434" s="57">
        <v>39455</v>
      </c>
      <c r="B4434">
        <v>1.4704999999999999</v>
      </c>
    </row>
    <row r="4435" spans="1:2" x14ac:dyDescent="0.2">
      <c r="A4435" s="57">
        <v>39454</v>
      </c>
      <c r="B4435">
        <v>1.4722999999999999</v>
      </c>
    </row>
    <row r="4436" spans="1:2" x14ac:dyDescent="0.2">
      <c r="A4436" s="57">
        <v>39453</v>
      </c>
    </row>
    <row r="4437" spans="1:2" x14ac:dyDescent="0.2">
      <c r="A4437" s="57">
        <v>39452</v>
      </c>
    </row>
    <row r="4438" spans="1:2" x14ac:dyDescent="0.2">
      <c r="A4438" s="57">
        <v>39451</v>
      </c>
      <c r="B4438">
        <v>1.4726999999999999</v>
      </c>
    </row>
    <row r="4439" spans="1:2" x14ac:dyDescent="0.2">
      <c r="A4439" s="57">
        <v>39450</v>
      </c>
      <c r="B4439">
        <v>1.4753000000000001</v>
      </c>
    </row>
    <row r="4440" spans="1:2" x14ac:dyDescent="0.2">
      <c r="A4440" s="57">
        <v>39449</v>
      </c>
      <c r="B4440">
        <v>1.4688000000000001</v>
      </c>
    </row>
    <row r="4441" spans="1:2" x14ac:dyDescent="0.2">
      <c r="A4441" s="57">
        <v>39448</v>
      </c>
    </row>
    <row r="4442" spans="1:2" x14ac:dyDescent="0.2">
      <c r="A4442" s="57">
        <v>39447</v>
      </c>
      <c r="B4442">
        <v>1.4721</v>
      </c>
    </row>
    <row r="4443" spans="1:2" x14ac:dyDescent="0.2">
      <c r="A4443" s="57">
        <v>39446</v>
      </c>
    </row>
    <row r="4444" spans="1:2" x14ac:dyDescent="0.2">
      <c r="A4444" s="57">
        <v>39445</v>
      </c>
    </row>
    <row r="4445" spans="1:2" x14ac:dyDescent="0.2">
      <c r="A4445" s="57">
        <v>39444</v>
      </c>
      <c r="B4445">
        <v>1.4692000000000001</v>
      </c>
    </row>
    <row r="4446" spans="1:2" x14ac:dyDescent="0.2">
      <c r="A4446" s="57">
        <v>39443</v>
      </c>
      <c r="B4446">
        <v>1.4516</v>
      </c>
    </row>
    <row r="4447" spans="1:2" x14ac:dyDescent="0.2">
      <c r="A4447" s="57">
        <v>39442</v>
      </c>
    </row>
    <row r="4448" spans="1:2" x14ac:dyDescent="0.2">
      <c r="A4448" s="57">
        <v>39441</v>
      </c>
    </row>
    <row r="4449" spans="1:2" x14ac:dyDescent="0.2">
      <c r="A4449" s="57">
        <v>39440</v>
      </c>
      <c r="B4449">
        <v>1.4398</v>
      </c>
    </row>
    <row r="4450" spans="1:2" x14ac:dyDescent="0.2">
      <c r="A4450" s="57">
        <v>39439</v>
      </c>
    </row>
    <row r="4451" spans="1:2" x14ac:dyDescent="0.2">
      <c r="A4451" s="57">
        <v>39438</v>
      </c>
    </row>
    <row r="4452" spans="1:2" x14ac:dyDescent="0.2">
      <c r="A4452" s="57">
        <v>39437</v>
      </c>
      <c r="B4452">
        <v>1.4379999999999999</v>
      </c>
    </row>
    <row r="4453" spans="1:2" x14ac:dyDescent="0.2">
      <c r="A4453" s="57">
        <v>39436</v>
      </c>
      <c r="B4453">
        <v>1.4349000000000001</v>
      </c>
    </row>
    <row r="4454" spans="1:2" x14ac:dyDescent="0.2">
      <c r="A4454" s="57">
        <v>39435</v>
      </c>
      <c r="B4454">
        <v>1.4384999999999999</v>
      </c>
    </row>
    <row r="4455" spans="1:2" x14ac:dyDescent="0.2">
      <c r="A4455" s="57">
        <v>39434</v>
      </c>
      <c r="B4455">
        <v>1.4416</v>
      </c>
    </row>
    <row r="4456" spans="1:2" x14ac:dyDescent="0.2">
      <c r="A4456" s="57">
        <v>39433</v>
      </c>
      <c r="B4456">
        <v>1.4393</v>
      </c>
    </row>
    <row r="4457" spans="1:2" x14ac:dyDescent="0.2">
      <c r="A4457" s="57">
        <v>39432</v>
      </c>
    </row>
    <row r="4458" spans="1:2" x14ac:dyDescent="0.2">
      <c r="A4458" s="57">
        <v>39431</v>
      </c>
    </row>
    <row r="4459" spans="1:2" x14ac:dyDescent="0.2">
      <c r="A4459" s="57">
        <v>39430</v>
      </c>
      <c r="B4459">
        <v>1.4509000000000001</v>
      </c>
    </row>
    <row r="4460" spans="1:2" x14ac:dyDescent="0.2">
      <c r="A4460" s="57">
        <v>39429</v>
      </c>
      <c r="B4460">
        <v>1.4682999999999999</v>
      </c>
    </row>
    <row r="4461" spans="1:2" x14ac:dyDescent="0.2">
      <c r="A4461" s="57">
        <v>39428</v>
      </c>
      <c r="B4461">
        <v>1.4675</v>
      </c>
    </row>
    <row r="4462" spans="1:2" x14ac:dyDescent="0.2">
      <c r="A4462" s="57">
        <v>39427</v>
      </c>
      <c r="B4462">
        <v>1.4672000000000001</v>
      </c>
    </row>
    <row r="4463" spans="1:2" x14ac:dyDescent="0.2">
      <c r="A4463" s="57">
        <v>39426</v>
      </c>
      <c r="B4463">
        <v>1.4718</v>
      </c>
    </row>
    <row r="4464" spans="1:2" x14ac:dyDescent="0.2">
      <c r="A4464" s="57">
        <v>39425</v>
      </c>
    </row>
    <row r="4465" spans="1:2" x14ac:dyDescent="0.2">
      <c r="A4465" s="57">
        <v>39424</v>
      </c>
    </row>
    <row r="4466" spans="1:2" x14ac:dyDescent="0.2">
      <c r="A4466" s="57">
        <v>39423</v>
      </c>
      <c r="B4466">
        <v>1.4649000000000001</v>
      </c>
    </row>
    <row r="4467" spans="1:2" x14ac:dyDescent="0.2">
      <c r="A4467" s="57">
        <v>39422</v>
      </c>
      <c r="B4467">
        <v>1.4554</v>
      </c>
    </row>
    <row r="4468" spans="1:2" x14ac:dyDescent="0.2">
      <c r="A4468" s="57">
        <v>39421</v>
      </c>
      <c r="B4468">
        <v>1.472</v>
      </c>
    </row>
    <row r="4469" spans="1:2" x14ac:dyDescent="0.2">
      <c r="A4469" s="57">
        <v>39420</v>
      </c>
      <c r="B4469">
        <v>1.4741</v>
      </c>
    </row>
    <row r="4470" spans="1:2" x14ac:dyDescent="0.2">
      <c r="A4470" s="57">
        <v>39419</v>
      </c>
      <c r="B4470">
        <v>1.4665999999999999</v>
      </c>
    </row>
    <row r="4471" spans="1:2" x14ac:dyDescent="0.2">
      <c r="A4471" s="57">
        <v>39418</v>
      </c>
    </row>
    <row r="4472" spans="1:2" x14ac:dyDescent="0.2">
      <c r="A4472" s="57">
        <v>39417</v>
      </c>
    </row>
    <row r="4473" spans="1:2" x14ac:dyDescent="0.2">
      <c r="A4473" s="57">
        <v>39416</v>
      </c>
      <c r="B4473">
        <v>1.4761</v>
      </c>
    </row>
    <row r="4474" spans="1:2" x14ac:dyDescent="0.2">
      <c r="A4474" s="57">
        <v>39415</v>
      </c>
      <c r="B4474">
        <v>1.4738</v>
      </c>
    </row>
    <row r="4475" spans="1:2" x14ac:dyDescent="0.2">
      <c r="A4475" s="57">
        <v>39414</v>
      </c>
      <c r="B4475">
        <v>1.4746999999999999</v>
      </c>
    </row>
    <row r="4476" spans="1:2" x14ac:dyDescent="0.2">
      <c r="A4476" s="57">
        <v>39413</v>
      </c>
      <c r="B4476">
        <v>1.4874000000000001</v>
      </c>
    </row>
    <row r="4477" spans="1:2" x14ac:dyDescent="0.2">
      <c r="A4477" s="57">
        <v>39412</v>
      </c>
      <c r="B4477">
        <v>1.4844999999999999</v>
      </c>
    </row>
    <row r="4478" spans="1:2" x14ac:dyDescent="0.2">
      <c r="A4478" s="57">
        <v>39411</v>
      </c>
    </row>
    <row r="4479" spans="1:2" x14ac:dyDescent="0.2">
      <c r="A4479" s="57">
        <v>39410</v>
      </c>
    </row>
    <row r="4480" spans="1:2" x14ac:dyDescent="0.2">
      <c r="A4480" s="57">
        <v>39409</v>
      </c>
      <c r="B4480">
        <v>1.4809000000000001</v>
      </c>
    </row>
    <row r="4481" spans="1:2" x14ac:dyDescent="0.2">
      <c r="A4481" s="57">
        <v>39408</v>
      </c>
      <c r="B4481">
        <v>1.4829000000000001</v>
      </c>
    </row>
    <row r="4482" spans="1:2" x14ac:dyDescent="0.2">
      <c r="A4482" s="57">
        <v>39407</v>
      </c>
      <c r="B4482">
        <v>1.4814000000000001</v>
      </c>
    </row>
    <row r="4483" spans="1:2" x14ac:dyDescent="0.2">
      <c r="A4483" s="57">
        <v>39406</v>
      </c>
      <c r="B4483">
        <v>1.4784999999999999</v>
      </c>
    </row>
    <row r="4484" spans="1:2" x14ac:dyDescent="0.2">
      <c r="A4484" s="57">
        <v>39405</v>
      </c>
      <c r="B4484">
        <v>1.4654</v>
      </c>
    </row>
    <row r="4485" spans="1:2" x14ac:dyDescent="0.2">
      <c r="A4485" s="57">
        <v>39404</v>
      </c>
    </row>
    <row r="4486" spans="1:2" x14ac:dyDescent="0.2">
      <c r="A4486" s="57">
        <v>39403</v>
      </c>
    </row>
    <row r="4487" spans="1:2" x14ac:dyDescent="0.2">
      <c r="A4487" s="57">
        <v>39402</v>
      </c>
      <c r="B4487">
        <v>1.4651000000000001</v>
      </c>
    </row>
    <row r="4488" spans="1:2" x14ac:dyDescent="0.2">
      <c r="A4488" s="57">
        <v>39401</v>
      </c>
      <c r="B4488">
        <v>1.4639</v>
      </c>
    </row>
    <row r="4489" spans="1:2" x14ac:dyDescent="0.2">
      <c r="A4489" s="57">
        <v>39400</v>
      </c>
      <c r="B4489">
        <v>1.47</v>
      </c>
    </row>
    <row r="4490" spans="1:2" x14ac:dyDescent="0.2">
      <c r="A4490" s="57">
        <v>39399</v>
      </c>
      <c r="B4490">
        <v>1.4607000000000001</v>
      </c>
    </row>
    <row r="4491" spans="1:2" x14ac:dyDescent="0.2">
      <c r="A4491" s="57">
        <v>39398</v>
      </c>
      <c r="B4491">
        <v>1.4579</v>
      </c>
    </row>
    <row r="4492" spans="1:2" x14ac:dyDescent="0.2">
      <c r="A4492" s="57">
        <v>39397</v>
      </c>
    </row>
    <row r="4493" spans="1:2" x14ac:dyDescent="0.2">
      <c r="A4493" s="57">
        <v>39396</v>
      </c>
    </row>
    <row r="4494" spans="1:2" x14ac:dyDescent="0.2">
      <c r="A4494" s="57">
        <v>39395</v>
      </c>
      <c r="B4494">
        <v>1.4682999999999999</v>
      </c>
    </row>
    <row r="4495" spans="1:2" x14ac:dyDescent="0.2">
      <c r="A4495" s="57">
        <v>39394</v>
      </c>
      <c r="B4495">
        <v>1.4665999999999999</v>
      </c>
    </row>
    <row r="4496" spans="1:2" x14ac:dyDescent="0.2">
      <c r="A4496" s="57">
        <v>39393</v>
      </c>
      <c r="B4496">
        <v>1.4722</v>
      </c>
    </row>
    <row r="4497" spans="1:2" x14ac:dyDescent="0.2">
      <c r="A4497" s="57">
        <v>39392</v>
      </c>
      <c r="B4497">
        <v>1.4547000000000001</v>
      </c>
    </row>
    <row r="4498" spans="1:2" x14ac:dyDescent="0.2">
      <c r="A4498" s="57">
        <v>39391</v>
      </c>
      <c r="B4498">
        <v>1.4488000000000001</v>
      </c>
    </row>
    <row r="4499" spans="1:2" x14ac:dyDescent="0.2">
      <c r="A4499" s="57">
        <v>39390</v>
      </c>
    </row>
    <row r="4500" spans="1:2" x14ac:dyDescent="0.2">
      <c r="A4500" s="57">
        <v>39389</v>
      </c>
    </row>
    <row r="4501" spans="1:2" x14ac:dyDescent="0.2">
      <c r="A4501" s="57">
        <v>39388</v>
      </c>
      <c r="B4501">
        <v>1.4479</v>
      </c>
    </row>
    <row r="4502" spans="1:2" x14ac:dyDescent="0.2">
      <c r="A4502" s="57">
        <v>39387</v>
      </c>
      <c r="B4502">
        <v>1.4422999999999999</v>
      </c>
    </row>
    <row r="4503" spans="1:2" x14ac:dyDescent="0.2">
      <c r="A4503" s="57">
        <v>39386</v>
      </c>
      <c r="B4503">
        <v>1.4447000000000001</v>
      </c>
    </row>
    <row r="4504" spans="1:2" x14ac:dyDescent="0.2">
      <c r="A4504" s="57">
        <v>39385</v>
      </c>
      <c r="B4504">
        <v>1.4407000000000001</v>
      </c>
    </row>
    <row r="4505" spans="1:2" x14ac:dyDescent="0.2">
      <c r="A4505" s="57">
        <v>39384</v>
      </c>
      <c r="B4505">
        <v>1.4391</v>
      </c>
    </row>
    <row r="4506" spans="1:2" x14ac:dyDescent="0.2">
      <c r="A4506" s="57">
        <v>39383</v>
      </c>
    </row>
    <row r="4507" spans="1:2" x14ac:dyDescent="0.2">
      <c r="A4507" s="57">
        <v>39382</v>
      </c>
    </row>
    <row r="4508" spans="1:2" x14ac:dyDescent="0.2">
      <c r="A4508" s="57">
        <v>39381</v>
      </c>
      <c r="B4508">
        <v>1.4383999999999999</v>
      </c>
    </row>
    <row r="4509" spans="1:2" x14ac:dyDescent="0.2">
      <c r="A4509" s="57">
        <v>39380</v>
      </c>
      <c r="B4509">
        <v>1.4309000000000001</v>
      </c>
    </row>
    <row r="4510" spans="1:2" x14ac:dyDescent="0.2">
      <c r="A4510" s="57">
        <v>39379</v>
      </c>
      <c r="B4510">
        <v>1.423</v>
      </c>
    </row>
    <row r="4511" spans="1:2" x14ac:dyDescent="0.2">
      <c r="A4511" s="57">
        <v>39378</v>
      </c>
      <c r="B4511">
        <v>1.4254</v>
      </c>
    </row>
    <row r="4512" spans="1:2" x14ac:dyDescent="0.2">
      <c r="A4512" s="57">
        <v>39377</v>
      </c>
      <c r="B4512">
        <v>1.4166000000000001</v>
      </c>
    </row>
    <row r="4513" spans="1:2" x14ac:dyDescent="0.2">
      <c r="A4513" s="57">
        <v>39376</v>
      </c>
    </row>
    <row r="4514" spans="1:2" x14ac:dyDescent="0.2">
      <c r="A4514" s="57">
        <v>39375</v>
      </c>
    </row>
    <row r="4515" spans="1:2" x14ac:dyDescent="0.2">
      <c r="A4515" s="57">
        <v>39374</v>
      </c>
      <c r="B4515">
        <v>1.4288000000000001</v>
      </c>
    </row>
    <row r="4516" spans="1:2" x14ac:dyDescent="0.2">
      <c r="A4516" s="57">
        <v>39373</v>
      </c>
      <c r="B4516">
        <v>1.4298999999999999</v>
      </c>
    </row>
    <row r="4517" spans="1:2" x14ac:dyDescent="0.2">
      <c r="A4517" s="57">
        <v>39372</v>
      </c>
      <c r="B4517">
        <v>1.42</v>
      </c>
    </row>
    <row r="4518" spans="1:2" x14ac:dyDescent="0.2">
      <c r="A4518" s="57">
        <v>39371</v>
      </c>
      <c r="B4518">
        <v>1.415</v>
      </c>
    </row>
    <row r="4519" spans="1:2" x14ac:dyDescent="0.2">
      <c r="A4519" s="57">
        <v>39370</v>
      </c>
      <c r="B4519">
        <v>1.4226000000000001</v>
      </c>
    </row>
    <row r="4520" spans="1:2" x14ac:dyDescent="0.2">
      <c r="A4520" s="57">
        <v>39369</v>
      </c>
    </row>
    <row r="4521" spans="1:2" x14ac:dyDescent="0.2">
      <c r="A4521" s="57">
        <v>39368</v>
      </c>
    </row>
    <row r="4522" spans="1:2" x14ac:dyDescent="0.2">
      <c r="A4522" s="57">
        <v>39367</v>
      </c>
      <c r="B4522">
        <v>1.4173</v>
      </c>
    </row>
    <row r="4523" spans="1:2" x14ac:dyDescent="0.2">
      <c r="A4523" s="57">
        <v>39366</v>
      </c>
      <c r="B4523">
        <v>1.4198999999999999</v>
      </c>
    </row>
    <row r="4524" spans="1:2" x14ac:dyDescent="0.2">
      <c r="A4524" s="57">
        <v>39365</v>
      </c>
      <c r="B4524">
        <v>1.4146000000000001</v>
      </c>
    </row>
    <row r="4525" spans="1:2" x14ac:dyDescent="0.2">
      <c r="A4525" s="57">
        <v>39364</v>
      </c>
      <c r="B4525">
        <v>1.4036999999999999</v>
      </c>
    </row>
    <row r="4526" spans="1:2" x14ac:dyDescent="0.2">
      <c r="A4526" s="57">
        <v>39363</v>
      </c>
      <c r="B4526">
        <v>1.4089</v>
      </c>
    </row>
    <row r="4527" spans="1:2" x14ac:dyDescent="0.2">
      <c r="A4527" s="57">
        <v>39362</v>
      </c>
    </row>
    <row r="4528" spans="1:2" x14ac:dyDescent="0.2">
      <c r="A4528" s="57">
        <v>39361</v>
      </c>
    </row>
    <row r="4529" spans="1:2" x14ac:dyDescent="0.2">
      <c r="A4529" s="57">
        <v>39360</v>
      </c>
      <c r="B4529">
        <v>1.4136</v>
      </c>
    </row>
    <row r="4530" spans="1:2" x14ac:dyDescent="0.2">
      <c r="A4530" s="57">
        <v>39359</v>
      </c>
      <c r="B4530">
        <v>1.4109</v>
      </c>
    </row>
    <row r="4531" spans="1:2" x14ac:dyDescent="0.2">
      <c r="A4531" s="57">
        <v>39358</v>
      </c>
      <c r="B4531">
        <v>1.4195</v>
      </c>
    </row>
    <row r="4532" spans="1:2" x14ac:dyDescent="0.2">
      <c r="A4532" s="57">
        <v>39357</v>
      </c>
      <c r="B4532">
        <v>1.4165000000000001</v>
      </c>
    </row>
    <row r="4533" spans="1:2" x14ac:dyDescent="0.2">
      <c r="A4533" s="57">
        <v>39356</v>
      </c>
      <c r="B4533">
        <v>1.4232</v>
      </c>
    </row>
    <row r="4534" spans="1:2" x14ac:dyDescent="0.2">
      <c r="A4534" s="57">
        <v>39355</v>
      </c>
    </row>
    <row r="4535" spans="1:2" x14ac:dyDescent="0.2">
      <c r="A4535" s="57">
        <v>39354</v>
      </c>
    </row>
    <row r="4536" spans="1:2" x14ac:dyDescent="0.2">
      <c r="A4536" s="57">
        <v>39353</v>
      </c>
      <c r="B4536">
        <v>1.4178999999999999</v>
      </c>
    </row>
    <row r="4537" spans="1:2" x14ac:dyDescent="0.2">
      <c r="A4537" s="57">
        <v>39352</v>
      </c>
      <c r="B4537">
        <v>1.4179999999999999</v>
      </c>
    </row>
    <row r="4538" spans="1:2" x14ac:dyDescent="0.2">
      <c r="A4538" s="57">
        <v>39351</v>
      </c>
      <c r="B4538">
        <v>1.4127000000000001</v>
      </c>
    </row>
    <row r="4539" spans="1:2" x14ac:dyDescent="0.2">
      <c r="A4539" s="57">
        <v>39350</v>
      </c>
      <c r="B4539">
        <v>1.4106000000000001</v>
      </c>
    </row>
    <row r="4540" spans="1:2" x14ac:dyDescent="0.2">
      <c r="A4540" s="57">
        <v>39349</v>
      </c>
      <c r="B4540">
        <v>1.4113</v>
      </c>
    </row>
    <row r="4541" spans="1:2" x14ac:dyDescent="0.2">
      <c r="A4541" s="57">
        <v>39348</v>
      </c>
    </row>
    <row r="4542" spans="1:2" x14ac:dyDescent="0.2">
      <c r="A4542" s="57">
        <v>39347</v>
      </c>
    </row>
    <row r="4543" spans="1:2" x14ac:dyDescent="0.2">
      <c r="A4543" s="57">
        <v>39346</v>
      </c>
      <c r="B4543">
        <v>1.4049</v>
      </c>
    </row>
    <row r="4544" spans="1:2" x14ac:dyDescent="0.2">
      <c r="A4544" s="57">
        <v>39345</v>
      </c>
      <c r="B4544">
        <v>1.403</v>
      </c>
    </row>
    <row r="4545" spans="1:2" x14ac:dyDescent="0.2">
      <c r="A4545" s="57">
        <v>39344</v>
      </c>
      <c r="B4545">
        <v>1.3975</v>
      </c>
    </row>
    <row r="4546" spans="1:2" x14ac:dyDescent="0.2">
      <c r="A4546" s="57">
        <v>39343</v>
      </c>
      <c r="B4546">
        <v>1.3867</v>
      </c>
    </row>
    <row r="4547" spans="1:2" x14ac:dyDescent="0.2">
      <c r="A4547" s="57">
        <v>39342</v>
      </c>
      <c r="B4547">
        <v>1.3876999999999999</v>
      </c>
    </row>
    <row r="4548" spans="1:2" x14ac:dyDescent="0.2">
      <c r="A4548" s="57">
        <v>39341</v>
      </c>
    </row>
    <row r="4549" spans="1:2" x14ac:dyDescent="0.2">
      <c r="A4549" s="57">
        <v>39340</v>
      </c>
    </row>
    <row r="4550" spans="1:2" x14ac:dyDescent="0.2">
      <c r="A4550" s="57">
        <v>39339</v>
      </c>
      <c r="B4550">
        <v>1.3859999999999999</v>
      </c>
    </row>
    <row r="4551" spans="1:2" x14ac:dyDescent="0.2">
      <c r="A4551" s="57">
        <v>39338</v>
      </c>
      <c r="B4551">
        <v>1.3896999999999999</v>
      </c>
    </row>
    <row r="4552" spans="1:2" x14ac:dyDescent="0.2">
      <c r="A4552" s="57">
        <v>39337</v>
      </c>
      <c r="B4552">
        <v>1.3885000000000001</v>
      </c>
    </row>
    <row r="4553" spans="1:2" x14ac:dyDescent="0.2">
      <c r="A4553" s="57">
        <v>39336</v>
      </c>
      <c r="B4553">
        <v>1.3824000000000001</v>
      </c>
    </row>
    <row r="4554" spans="1:2" x14ac:dyDescent="0.2">
      <c r="A4554" s="57">
        <v>39335</v>
      </c>
      <c r="B4554">
        <v>1.3794999999999999</v>
      </c>
    </row>
    <row r="4555" spans="1:2" x14ac:dyDescent="0.2">
      <c r="A4555" s="57">
        <v>39334</v>
      </c>
    </row>
    <row r="4556" spans="1:2" x14ac:dyDescent="0.2">
      <c r="A4556" s="57">
        <v>39333</v>
      </c>
    </row>
    <row r="4557" spans="1:2" x14ac:dyDescent="0.2">
      <c r="A4557" s="57">
        <v>39332</v>
      </c>
      <c r="B4557">
        <v>1.3695999999999999</v>
      </c>
    </row>
    <row r="4558" spans="1:2" x14ac:dyDescent="0.2">
      <c r="A4558" s="57">
        <v>39331</v>
      </c>
      <c r="B4558">
        <v>1.3669</v>
      </c>
    </row>
    <row r="4559" spans="1:2" x14ac:dyDescent="0.2">
      <c r="A4559" s="57">
        <v>39330</v>
      </c>
      <c r="B4559">
        <v>1.3588</v>
      </c>
    </row>
    <row r="4560" spans="1:2" x14ac:dyDescent="0.2">
      <c r="A4560" s="57">
        <v>39329</v>
      </c>
      <c r="B4560">
        <v>1.3580000000000001</v>
      </c>
    </row>
    <row r="4561" spans="1:2" x14ac:dyDescent="0.2">
      <c r="A4561" s="57">
        <v>39328</v>
      </c>
      <c r="B4561">
        <v>1.3632</v>
      </c>
    </row>
    <row r="4562" spans="1:2" x14ac:dyDescent="0.2">
      <c r="A4562" s="57">
        <v>39327</v>
      </c>
    </row>
    <row r="4563" spans="1:2" x14ac:dyDescent="0.2">
      <c r="A4563" s="57">
        <v>39326</v>
      </c>
    </row>
    <row r="4564" spans="1:2" x14ac:dyDescent="0.2">
      <c r="A4564" s="57">
        <v>39325</v>
      </c>
      <c r="B4564">
        <v>1.3705000000000001</v>
      </c>
    </row>
    <row r="4565" spans="1:2" x14ac:dyDescent="0.2">
      <c r="A4565" s="57">
        <v>39324</v>
      </c>
      <c r="B4565">
        <v>1.361</v>
      </c>
    </row>
    <row r="4566" spans="1:2" x14ac:dyDescent="0.2">
      <c r="A4566" s="57">
        <v>39323</v>
      </c>
      <c r="B4566">
        <v>1.3631</v>
      </c>
    </row>
    <row r="4567" spans="1:2" x14ac:dyDescent="0.2">
      <c r="A4567" s="57">
        <v>39322</v>
      </c>
      <c r="B4567">
        <v>1.3664000000000001</v>
      </c>
    </row>
    <row r="4568" spans="1:2" x14ac:dyDescent="0.2">
      <c r="A4568" s="57">
        <v>39321</v>
      </c>
      <c r="B4568">
        <v>1.3657999999999999</v>
      </c>
    </row>
    <row r="4569" spans="1:2" x14ac:dyDescent="0.2">
      <c r="A4569" s="57">
        <v>39320</v>
      </c>
    </row>
    <row r="4570" spans="1:2" x14ac:dyDescent="0.2">
      <c r="A4570" s="57">
        <v>39319</v>
      </c>
    </row>
    <row r="4571" spans="1:2" x14ac:dyDescent="0.2">
      <c r="A4571" s="57">
        <v>39318</v>
      </c>
      <c r="B4571">
        <v>1.3614999999999999</v>
      </c>
    </row>
    <row r="4572" spans="1:2" x14ac:dyDescent="0.2">
      <c r="A4572" s="57">
        <v>39317</v>
      </c>
      <c r="B4572">
        <v>1.3573999999999999</v>
      </c>
    </row>
    <row r="4573" spans="1:2" x14ac:dyDescent="0.2">
      <c r="A4573" s="57">
        <v>39316</v>
      </c>
      <c r="B4573">
        <v>1.3492999999999999</v>
      </c>
    </row>
    <row r="4574" spans="1:2" x14ac:dyDescent="0.2">
      <c r="A4574" s="57">
        <v>39315</v>
      </c>
      <c r="B4574">
        <v>1.3508</v>
      </c>
    </row>
    <row r="4575" spans="1:2" x14ac:dyDescent="0.2">
      <c r="A4575" s="57">
        <v>39314</v>
      </c>
      <c r="B4575">
        <v>1.3475999999999999</v>
      </c>
    </row>
    <row r="4576" spans="1:2" x14ac:dyDescent="0.2">
      <c r="A4576" s="57">
        <v>39313</v>
      </c>
    </row>
    <row r="4577" spans="1:2" x14ac:dyDescent="0.2">
      <c r="A4577" s="57">
        <v>39312</v>
      </c>
    </row>
    <row r="4578" spans="1:2" x14ac:dyDescent="0.2">
      <c r="A4578" s="57">
        <v>39311</v>
      </c>
      <c r="B4578">
        <v>1.3453999999999999</v>
      </c>
    </row>
    <row r="4579" spans="1:2" x14ac:dyDescent="0.2">
      <c r="A4579" s="57">
        <v>39310</v>
      </c>
      <c r="B4579">
        <v>1.3405</v>
      </c>
    </row>
    <row r="4580" spans="1:2" x14ac:dyDescent="0.2">
      <c r="A4580" s="57">
        <v>39309</v>
      </c>
      <c r="B4580">
        <v>1.3475999999999999</v>
      </c>
    </row>
    <row r="4581" spans="1:2" x14ac:dyDescent="0.2">
      <c r="A4581" s="57">
        <v>39308</v>
      </c>
      <c r="B4581">
        <v>1.3591</v>
      </c>
    </row>
    <row r="4582" spans="1:2" x14ac:dyDescent="0.2">
      <c r="A4582" s="57">
        <v>39307</v>
      </c>
      <c r="B4582">
        <v>1.3651</v>
      </c>
    </row>
    <row r="4583" spans="1:2" x14ac:dyDescent="0.2">
      <c r="A4583" s="57">
        <v>39306</v>
      </c>
    </row>
    <row r="4584" spans="1:2" x14ac:dyDescent="0.2">
      <c r="A4584" s="57">
        <v>39305</v>
      </c>
    </row>
    <row r="4585" spans="1:2" x14ac:dyDescent="0.2">
      <c r="A4585" s="57">
        <v>39304</v>
      </c>
      <c r="B4585">
        <v>1.365</v>
      </c>
    </row>
    <row r="4586" spans="1:2" x14ac:dyDescent="0.2">
      <c r="A4586" s="57">
        <v>39303</v>
      </c>
      <c r="B4586">
        <v>1.3729</v>
      </c>
    </row>
    <row r="4587" spans="1:2" x14ac:dyDescent="0.2">
      <c r="A4587" s="57">
        <v>39302</v>
      </c>
      <c r="B4587">
        <v>1.3794</v>
      </c>
    </row>
    <row r="4588" spans="1:2" x14ac:dyDescent="0.2">
      <c r="A4588" s="57">
        <v>39301</v>
      </c>
      <c r="B4588">
        <v>1.3794</v>
      </c>
    </row>
    <row r="4589" spans="1:2" x14ac:dyDescent="0.2">
      <c r="A4589" s="57">
        <v>39300</v>
      </c>
      <c r="B4589">
        <v>1.3817999999999999</v>
      </c>
    </row>
    <row r="4590" spans="1:2" x14ac:dyDescent="0.2">
      <c r="A4590" s="57">
        <v>39299</v>
      </c>
    </row>
    <row r="4591" spans="1:2" x14ac:dyDescent="0.2">
      <c r="A4591" s="57">
        <v>39298</v>
      </c>
    </row>
    <row r="4592" spans="1:2" x14ac:dyDescent="0.2">
      <c r="A4592" s="57">
        <v>39297</v>
      </c>
      <c r="B4592">
        <v>1.3694</v>
      </c>
    </row>
    <row r="4593" spans="1:2" x14ac:dyDescent="0.2">
      <c r="A4593" s="57">
        <v>39296</v>
      </c>
      <c r="B4593">
        <v>1.3664000000000001</v>
      </c>
    </row>
    <row r="4594" spans="1:2" x14ac:dyDescent="0.2">
      <c r="A4594" s="57">
        <v>39295</v>
      </c>
      <c r="B4594">
        <v>1.3663000000000001</v>
      </c>
    </row>
    <row r="4595" spans="1:2" x14ac:dyDescent="0.2">
      <c r="A4595" s="57">
        <v>39294</v>
      </c>
      <c r="B4595">
        <v>1.3707</v>
      </c>
    </row>
    <row r="4596" spans="1:2" x14ac:dyDescent="0.2">
      <c r="A4596" s="57">
        <v>39293</v>
      </c>
      <c r="B4596">
        <v>1.3658999999999999</v>
      </c>
    </row>
    <row r="4597" spans="1:2" x14ac:dyDescent="0.2">
      <c r="A4597" s="57">
        <v>39292</v>
      </c>
    </row>
    <row r="4598" spans="1:2" x14ac:dyDescent="0.2">
      <c r="A4598" s="57">
        <v>39291</v>
      </c>
    </row>
    <row r="4599" spans="1:2" x14ac:dyDescent="0.2">
      <c r="A4599" s="57">
        <v>39290</v>
      </c>
      <c r="B4599">
        <v>1.3651</v>
      </c>
    </row>
    <row r="4600" spans="1:2" x14ac:dyDescent="0.2">
      <c r="A4600" s="57">
        <v>39289</v>
      </c>
      <c r="B4600">
        <v>1.3722000000000001</v>
      </c>
    </row>
    <row r="4601" spans="1:2" x14ac:dyDescent="0.2">
      <c r="A4601" s="57">
        <v>39288</v>
      </c>
      <c r="B4601">
        <v>1.3743000000000001</v>
      </c>
    </row>
    <row r="4602" spans="1:2" x14ac:dyDescent="0.2">
      <c r="A4602" s="57">
        <v>39287</v>
      </c>
      <c r="B4602">
        <v>1.3833</v>
      </c>
    </row>
    <row r="4603" spans="1:2" x14ac:dyDescent="0.2">
      <c r="A4603" s="57">
        <v>39286</v>
      </c>
      <c r="B4603">
        <v>1.3821000000000001</v>
      </c>
    </row>
    <row r="4604" spans="1:2" x14ac:dyDescent="0.2">
      <c r="A4604" s="57">
        <v>39285</v>
      </c>
    </row>
    <row r="4605" spans="1:2" x14ac:dyDescent="0.2">
      <c r="A4605" s="57">
        <v>39284</v>
      </c>
    </row>
    <row r="4606" spans="1:2" x14ac:dyDescent="0.2">
      <c r="A4606" s="57">
        <v>39283</v>
      </c>
      <c r="B4606">
        <v>1.3803000000000001</v>
      </c>
    </row>
    <row r="4607" spans="1:2" x14ac:dyDescent="0.2">
      <c r="A4607" s="57">
        <v>39282</v>
      </c>
      <c r="B4607">
        <v>1.3819999999999999</v>
      </c>
    </row>
    <row r="4608" spans="1:2" x14ac:dyDescent="0.2">
      <c r="A4608" s="57">
        <v>39281</v>
      </c>
      <c r="B4608">
        <v>1.3778999999999999</v>
      </c>
    </row>
    <row r="4609" spans="1:2" x14ac:dyDescent="0.2">
      <c r="A4609" s="57">
        <v>39280</v>
      </c>
      <c r="B4609">
        <v>1.3771</v>
      </c>
    </row>
    <row r="4610" spans="1:2" x14ac:dyDescent="0.2">
      <c r="A4610" s="57">
        <v>39279</v>
      </c>
      <c r="B4610">
        <v>1.3781000000000001</v>
      </c>
    </row>
    <row r="4611" spans="1:2" x14ac:dyDescent="0.2">
      <c r="A4611" s="57">
        <v>39278</v>
      </c>
    </row>
    <row r="4612" spans="1:2" x14ac:dyDescent="0.2">
      <c r="A4612" s="57">
        <v>39277</v>
      </c>
    </row>
    <row r="4613" spans="1:2" x14ac:dyDescent="0.2">
      <c r="A4613" s="57">
        <v>39276</v>
      </c>
      <c r="B4613">
        <v>1.3782000000000001</v>
      </c>
    </row>
    <row r="4614" spans="1:2" x14ac:dyDescent="0.2">
      <c r="A4614" s="57">
        <v>39275</v>
      </c>
      <c r="B4614">
        <v>1.3788</v>
      </c>
    </row>
    <row r="4615" spans="1:2" x14ac:dyDescent="0.2">
      <c r="A4615" s="57">
        <v>39274</v>
      </c>
      <c r="B4615">
        <v>1.3753</v>
      </c>
    </row>
    <row r="4616" spans="1:2" x14ac:dyDescent="0.2">
      <c r="A4616" s="57">
        <v>39273</v>
      </c>
      <c r="B4616">
        <v>1.3666</v>
      </c>
    </row>
    <row r="4617" spans="1:2" x14ac:dyDescent="0.2">
      <c r="A4617" s="57">
        <v>39272</v>
      </c>
      <c r="B4617">
        <v>1.3621000000000001</v>
      </c>
    </row>
    <row r="4618" spans="1:2" x14ac:dyDescent="0.2">
      <c r="A4618" s="57">
        <v>39271</v>
      </c>
    </row>
    <row r="4619" spans="1:2" x14ac:dyDescent="0.2">
      <c r="A4619" s="57">
        <v>39270</v>
      </c>
    </row>
    <row r="4620" spans="1:2" x14ac:dyDescent="0.2">
      <c r="A4620" s="57">
        <v>39269</v>
      </c>
      <c r="B4620">
        <v>1.3595999999999999</v>
      </c>
    </row>
    <row r="4621" spans="1:2" x14ac:dyDescent="0.2">
      <c r="A4621" s="57">
        <v>39268</v>
      </c>
      <c r="B4621">
        <v>1.3640000000000001</v>
      </c>
    </row>
    <row r="4622" spans="1:2" x14ac:dyDescent="0.2">
      <c r="A4622" s="57">
        <v>39267</v>
      </c>
      <c r="B4622">
        <v>1.3617999999999999</v>
      </c>
    </row>
    <row r="4623" spans="1:2" x14ac:dyDescent="0.2">
      <c r="A4623" s="57">
        <v>39266</v>
      </c>
      <c r="B4623">
        <v>1.3601000000000001</v>
      </c>
    </row>
    <row r="4624" spans="1:2" x14ac:dyDescent="0.2">
      <c r="A4624" s="57">
        <v>39265</v>
      </c>
      <c r="B4624">
        <v>1.3588</v>
      </c>
    </row>
    <row r="4625" spans="1:2" x14ac:dyDescent="0.2">
      <c r="A4625" s="57">
        <v>39264</v>
      </c>
    </row>
    <row r="4626" spans="1:2" x14ac:dyDescent="0.2">
      <c r="A4626" s="57">
        <v>39263</v>
      </c>
    </row>
    <row r="4627" spans="1:2" x14ac:dyDescent="0.2">
      <c r="A4627" s="57">
        <v>39262</v>
      </c>
      <c r="B4627">
        <v>1.3505</v>
      </c>
    </row>
    <row r="4628" spans="1:2" x14ac:dyDescent="0.2">
      <c r="A4628" s="57">
        <v>39261</v>
      </c>
      <c r="B4628">
        <v>1.3467</v>
      </c>
    </row>
    <row r="4629" spans="1:2" x14ac:dyDescent="0.2">
      <c r="A4629" s="57">
        <v>39260</v>
      </c>
      <c r="B4629">
        <v>1.3438000000000001</v>
      </c>
    </row>
    <row r="4630" spans="1:2" x14ac:dyDescent="0.2">
      <c r="A4630" s="57">
        <v>39259</v>
      </c>
      <c r="B4630">
        <v>1.3460000000000001</v>
      </c>
    </row>
    <row r="4631" spans="1:2" x14ac:dyDescent="0.2">
      <c r="A4631" s="57">
        <v>39258</v>
      </c>
      <c r="B4631">
        <v>1.3461000000000001</v>
      </c>
    </row>
    <row r="4632" spans="1:2" x14ac:dyDescent="0.2">
      <c r="A4632" s="57">
        <v>39257</v>
      </c>
    </row>
    <row r="4633" spans="1:2" x14ac:dyDescent="0.2">
      <c r="A4633" s="57">
        <v>39256</v>
      </c>
    </row>
    <row r="4634" spans="1:2" x14ac:dyDescent="0.2">
      <c r="A4634" s="57">
        <v>39255</v>
      </c>
      <c r="B4634">
        <v>1.3441000000000001</v>
      </c>
    </row>
    <row r="4635" spans="1:2" x14ac:dyDescent="0.2">
      <c r="A4635" s="57">
        <v>39254</v>
      </c>
      <c r="B4635">
        <v>1.3396999999999999</v>
      </c>
    </row>
    <row r="4636" spans="1:2" x14ac:dyDescent="0.2">
      <c r="A4636" s="57">
        <v>39253</v>
      </c>
      <c r="B4636">
        <v>1.3427</v>
      </c>
    </row>
    <row r="4637" spans="1:2" x14ac:dyDescent="0.2">
      <c r="A4637" s="57">
        <v>39252</v>
      </c>
      <c r="B4637">
        <v>1.3403</v>
      </c>
    </row>
    <row r="4638" spans="1:2" x14ac:dyDescent="0.2">
      <c r="A4638" s="57">
        <v>39251</v>
      </c>
      <c r="B4638">
        <v>1.3404</v>
      </c>
    </row>
    <row r="4639" spans="1:2" x14ac:dyDescent="0.2">
      <c r="A4639" s="57">
        <v>39250</v>
      </c>
    </row>
    <row r="4640" spans="1:2" x14ac:dyDescent="0.2">
      <c r="A4640" s="57">
        <v>39249</v>
      </c>
    </row>
    <row r="4641" spans="1:2" x14ac:dyDescent="0.2">
      <c r="A4641" s="57">
        <v>39248</v>
      </c>
      <c r="B4641">
        <v>1.3313999999999999</v>
      </c>
    </row>
    <row r="4642" spans="1:2" x14ac:dyDescent="0.2">
      <c r="A4642" s="57">
        <v>39247</v>
      </c>
      <c r="B4642">
        <v>1.3304</v>
      </c>
    </row>
    <row r="4643" spans="1:2" x14ac:dyDescent="0.2">
      <c r="A4643" s="57">
        <v>39246</v>
      </c>
      <c r="B4643">
        <v>1.3287</v>
      </c>
    </row>
    <row r="4644" spans="1:2" x14ac:dyDescent="0.2">
      <c r="A4644" s="57">
        <v>39245</v>
      </c>
      <c r="B4644">
        <v>1.3345</v>
      </c>
    </row>
    <row r="4645" spans="1:2" x14ac:dyDescent="0.2">
      <c r="A4645" s="57">
        <v>39244</v>
      </c>
      <c r="B4645">
        <v>1.3354999999999999</v>
      </c>
    </row>
    <row r="4646" spans="1:2" x14ac:dyDescent="0.2">
      <c r="A4646" s="57">
        <v>39243</v>
      </c>
    </row>
    <row r="4647" spans="1:2" x14ac:dyDescent="0.2">
      <c r="A4647" s="57">
        <v>39242</v>
      </c>
    </row>
    <row r="4648" spans="1:2" x14ac:dyDescent="0.2">
      <c r="A4648" s="57">
        <v>39241</v>
      </c>
      <c r="B4648">
        <v>1.3349</v>
      </c>
    </row>
    <row r="4649" spans="1:2" x14ac:dyDescent="0.2">
      <c r="A4649" s="57">
        <v>39240</v>
      </c>
      <c r="B4649">
        <v>1.347</v>
      </c>
    </row>
    <row r="4650" spans="1:2" x14ac:dyDescent="0.2">
      <c r="A4650" s="57">
        <v>39239</v>
      </c>
      <c r="B4650">
        <v>1.3512999999999999</v>
      </c>
    </row>
    <row r="4651" spans="1:2" x14ac:dyDescent="0.2">
      <c r="A4651" s="57">
        <v>39238</v>
      </c>
      <c r="B4651">
        <v>1.3532</v>
      </c>
    </row>
    <row r="4652" spans="1:2" x14ac:dyDescent="0.2">
      <c r="A4652" s="57">
        <v>39237</v>
      </c>
      <c r="B4652">
        <v>1.3482000000000001</v>
      </c>
    </row>
    <row r="4653" spans="1:2" x14ac:dyDescent="0.2">
      <c r="A4653" s="57">
        <v>39236</v>
      </c>
    </row>
    <row r="4654" spans="1:2" x14ac:dyDescent="0.2">
      <c r="A4654" s="57">
        <v>39235</v>
      </c>
    </row>
    <row r="4655" spans="1:2" x14ac:dyDescent="0.2">
      <c r="A4655" s="57">
        <v>39234</v>
      </c>
      <c r="B4655">
        <v>1.3435999999999999</v>
      </c>
    </row>
    <row r="4656" spans="1:2" x14ac:dyDescent="0.2">
      <c r="A4656" s="57">
        <v>39233</v>
      </c>
      <c r="B4656">
        <v>1.3452999999999999</v>
      </c>
    </row>
    <row r="4657" spans="1:2" x14ac:dyDescent="0.2">
      <c r="A4657" s="57">
        <v>39232</v>
      </c>
      <c r="B4657">
        <v>1.3420000000000001</v>
      </c>
    </row>
    <row r="4658" spans="1:2" x14ac:dyDescent="0.2">
      <c r="A4658" s="57">
        <v>39231</v>
      </c>
      <c r="B4658">
        <v>1.3509</v>
      </c>
    </row>
    <row r="4659" spans="1:2" x14ac:dyDescent="0.2">
      <c r="A4659" s="57">
        <v>39230</v>
      </c>
      <c r="B4659">
        <v>1.3452999999999999</v>
      </c>
    </row>
    <row r="4660" spans="1:2" x14ac:dyDescent="0.2">
      <c r="A4660" s="57">
        <v>39229</v>
      </c>
    </row>
    <row r="4661" spans="1:2" x14ac:dyDescent="0.2">
      <c r="A4661" s="57">
        <v>39228</v>
      </c>
    </row>
    <row r="4662" spans="1:2" x14ac:dyDescent="0.2">
      <c r="A4662" s="57">
        <v>39227</v>
      </c>
      <c r="B4662">
        <v>1.3441000000000001</v>
      </c>
    </row>
    <row r="4663" spans="1:2" x14ac:dyDescent="0.2">
      <c r="A4663" s="57">
        <v>39226</v>
      </c>
      <c r="B4663">
        <v>1.3448</v>
      </c>
    </row>
    <row r="4664" spans="1:2" x14ac:dyDescent="0.2">
      <c r="A4664" s="57">
        <v>39225</v>
      </c>
      <c r="B4664">
        <v>1.349</v>
      </c>
    </row>
    <row r="4665" spans="1:2" x14ac:dyDescent="0.2">
      <c r="A4665" s="57">
        <v>39224</v>
      </c>
      <c r="B4665">
        <v>1.3453999999999999</v>
      </c>
    </row>
    <row r="4666" spans="1:2" x14ac:dyDescent="0.2">
      <c r="A4666" s="57">
        <v>39223</v>
      </c>
      <c r="B4666">
        <v>1.3444</v>
      </c>
    </row>
    <row r="4667" spans="1:2" x14ac:dyDescent="0.2">
      <c r="A4667" s="57">
        <v>39222</v>
      </c>
    </row>
    <row r="4668" spans="1:2" x14ac:dyDescent="0.2">
      <c r="A4668" s="57">
        <v>39221</v>
      </c>
    </row>
    <row r="4669" spans="1:2" x14ac:dyDescent="0.2">
      <c r="A4669" s="57">
        <v>39220</v>
      </c>
      <c r="B4669">
        <v>1.3476999999999999</v>
      </c>
    </row>
    <row r="4670" spans="1:2" x14ac:dyDescent="0.2">
      <c r="A4670" s="57">
        <v>39219</v>
      </c>
      <c r="B4670">
        <v>1.3515999999999999</v>
      </c>
    </row>
    <row r="4671" spans="1:2" x14ac:dyDescent="0.2">
      <c r="A4671" s="57">
        <v>39218</v>
      </c>
      <c r="B4671">
        <v>1.3573999999999999</v>
      </c>
    </row>
    <row r="4672" spans="1:2" x14ac:dyDescent="0.2">
      <c r="A4672" s="57">
        <v>39217</v>
      </c>
      <c r="B4672">
        <v>1.3537999999999999</v>
      </c>
    </row>
    <row r="4673" spans="1:2" x14ac:dyDescent="0.2">
      <c r="A4673" s="57">
        <v>39216</v>
      </c>
      <c r="B4673">
        <v>1.3549</v>
      </c>
    </row>
    <row r="4674" spans="1:2" x14ac:dyDescent="0.2">
      <c r="A4674" s="57">
        <v>39215</v>
      </c>
    </row>
    <row r="4675" spans="1:2" x14ac:dyDescent="0.2">
      <c r="A4675" s="57">
        <v>39214</v>
      </c>
    </row>
    <row r="4676" spans="1:2" x14ac:dyDescent="0.2">
      <c r="A4676" s="57">
        <v>39213</v>
      </c>
      <c r="B4676">
        <v>1.3486</v>
      </c>
    </row>
    <row r="4677" spans="1:2" x14ac:dyDescent="0.2">
      <c r="A4677" s="57">
        <v>39212</v>
      </c>
      <c r="B4677">
        <v>1.3527</v>
      </c>
    </row>
    <row r="4678" spans="1:2" x14ac:dyDescent="0.2">
      <c r="A4678" s="57">
        <v>39211</v>
      </c>
      <c r="B4678">
        <v>1.3534999999999999</v>
      </c>
    </row>
    <row r="4679" spans="1:2" x14ac:dyDescent="0.2">
      <c r="A4679" s="57">
        <v>39210</v>
      </c>
      <c r="B4679">
        <v>1.3557999999999999</v>
      </c>
    </row>
    <row r="4680" spans="1:2" x14ac:dyDescent="0.2">
      <c r="A4680" s="57">
        <v>39209</v>
      </c>
      <c r="B4680">
        <v>1.3614999999999999</v>
      </c>
    </row>
    <row r="4681" spans="1:2" x14ac:dyDescent="0.2">
      <c r="A4681" s="57">
        <v>39208</v>
      </c>
    </row>
    <row r="4682" spans="1:2" x14ac:dyDescent="0.2">
      <c r="A4682" s="57">
        <v>39207</v>
      </c>
    </row>
    <row r="4683" spans="1:2" x14ac:dyDescent="0.2">
      <c r="A4683" s="57">
        <v>39206</v>
      </c>
      <c r="B4683">
        <v>1.3561000000000001</v>
      </c>
    </row>
    <row r="4684" spans="1:2" x14ac:dyDescent="0.2">
      <c r="A4684" s="57">
        <v>39205</v>
      </c>
      <c r="B4684">
        <v>1.3613</v>
      </c>
    </row>
    <row r="4685" spans="1:2" x14ac:dyDescent="0.2">
      <c r="A4685" s="57">
        <v>39204</v>
      </c>
      <c r="B4685">
        <v>1.3588</v>
      </c>
    </row>
    <row r="4686" spans="1:2" x14ac:dyDescent="0.2">
      <c r="A4686" s="57">
        <v>39203</v>
      </c>
    </row>
    <row r="4687" spans="1:2" x14ac:dyDescent="0.2">
      <c r="A4687" s="57">
        <v>39202</v>
      </c>
      <c r="B4687">
        <v>1.3605</v>
      </c>
    </row>
    <row r="4688" spans="1:2" x14ac:dyDescent="0.2">
      <c r="A4688" s="57">
        <v>39201</v>
      </c>
    </row>
    <row r="4689" spans="1:2" x14ac:dyDescent="0.2">
      <c r="A4689" s="57">
        <v>39200</v>
      </c>
    </row>
    <row r="4690" spans="1:2" x14ac:dyDescent="0.2">
      <c r="A4690" s="57">
        <v>39199</v>
      </c>
      <c r="B4690">
        <v>1.3643000000000001</v>
      </c>
    </row>
    <row r="4691" spans="1:2" x14ac:dyDescent="0.2">
      <c r="A4691" s="57">
        <v>39198</v>
      </c>
      <c r="B4691">
        <v>1.3595999999999999</v>
      </c>
    </row>
    <row r="4692" spans="1:2" x14ac:dyDescent="0.2">
      <c r="A4692" s="57">
        <v>39197</v>
      </c>
      <c r="B4692">
        <v>1.3649</v>
      </c>
    </row>
    <row r="4693" spans="1:2" x14ac:dyDescent="0.2">
      <c r="A4693" s="57">
        <v>39196</v>
      </c>
      <c r="B4693">
        <v>1.3582000000000001</v>
      </c>
    </row>
    <row r="4694" spans="1:2" x14ac:dyDescent="0.2">
      <c r="A4694" s="57">
        <v>39195</v>
      </c>
      <c r="B4694">
        <v>1.3556999999999999</v>
      </c>
    </row>
    <row r="4695" spans="1:2" x14ac:dyDescent="0.2">
      <c r="A4695" s="57">
        <v>39194</v>
      </c>
    </row>
    <row r="4696" spans="1:2" x14ac:dyDescent="0.2">
      <c r="A4696" s="57">
        <v>39193</v>
      </c>
    </row>
    <row r="4697" spans="1:2" x14ac:dyDescent="0.2">
      <c r="A4697" s="57">
        <v>39192</v>
      </c>
      <c r="B4697">
        <v>1.3606</v>
      </c>
    </row>
    <row r="4698" spans="1:2" x14ac:dyDescent="0.2">
      <c r="A4698" s="57">
        <v>39191</v>
      </c>
      <c r="B4698">
        <v>1.3601000000000001</v>
      </c>
    </row>
    <row r="4699" spans="1:2" x14ac:dyDescent="0.2">
      <c r="A4699" s="57">
        <v>39190</v>
      </c>
      <c r="B4699">
        <v>1.3576999999999999</v>
      </c>
    </row>
    <row r="4700" spans="1:2" x14ac:dyDescent="0.2">
      <c r="A4700" s="57">
        <v>39189</v>
      </c>
      <c r="B4700">
        <v>1.3549</v>
      </c>
    </row>
    <row r="4701" spans="1:2" x14ac:dyDescent="0.2">
      <c r="A4701" s="57">
        <v>39188</v>
      </c>
      <c r="B4701">
        <v>1.355</v>
      </c>
    </row>
    <row r="4702" spans="1:2" x14ac:dyDescent="0.2">
      <c r="A4702" s="57">
        <v>39187</v>
      </c>
    </row>
    <row r="4703" spans="1:2" x14ac:dyDescent="0.2">
      <c r="A4703" s="57">
        <v>39186</v>
      </c>
    </row>
    <row r="4704" spans="1:2" x14ac:dyDescent="0.2">
      <c r="A4704" s="57">
        <v>39185</v>
      </c>
      <c r="B4704">
        <v>1.3532</v>
      </c>
    </row>
    <row r="4705" spans="1:2" x14ac:dyDescent="0.2">
      <c r="A4705" s="57">
        <v>39184</v>
      </c>
      <c r="B4705">
        <v>1.3467</v>
      </c>
    </row>
    <row r="4706" spans="1:2" x14ac:dyDescent="0.2">
      <c r="A4706" s="57">
        <v>39183</v>
      </c>
      <c r="B4706">
        <v>1.3418000000000001</v>
      </c>
    </row>
    <row r="4707" spans="1:2" x14ac:dyDescent="0.2">
      <c r="A4707" s="57">
        <v>39182</v>
      </c>
      <c r="B4707">
        <v>1.3426</v>
      </c>
    </row>
    <row r="4708" spans="1:2" x14ac:dyDescent="0.2">
      <c r="A4708" s="57">
        <v>39181</v>
      </c>
    </row>
    <row r="4709" spans="1:2" x14ac:dyDescent="0.2">
      <c r="A4709" s="57">
        <v>39180</v>
      </c>
    </row>
    <row r="4710" spans="1:2" x14ac:dyDescent="0.2">
      <c r="A4710" s="57">
        <v>39179</v>
      </c>
    </row>
    <row r="4711" spans="1:2" x14ac:dyDescent="0.2">
      <c r="A4711" s="57">
        <v>39178</v>
      </c>
    </row>
    <row r="4712" spans="1:2" x14ac:dyDescent="0.2">
      <c r="A4712" s="57">
        <v>39177</v>
      </c>
      <c r="B4712">
        <v>1.3372999999999999</v>
      </c>
    </row>
    <row r="4713" spans="1:2" x14ac:dyDescent="0.2">
      <c r="A4713" s="57">
        <v>39176</v>
      </c>
      <c r="B4713">
        <v>1.3351999999999999</v>
      </c>
    </row>
    <row r="4714" spans="1:2" x14ac:dyDescent="0.2">
      <c r="A4714" s="57">
        <v>39175</v>
      </c>
      <c r="B4714">
        <v>1.3358000000000001</v>
      </c>
    </row>
    <row r="4715" spans="1:2" x14ac:dyDescent="0.2">
      <c r="A4715" s="57">
        <v>39174</v>
      </c>
      <c r="B4715">
        <v>1.3366</v>
      </c>
    </row>
    <row r="4716" spans="1:2" x14ac:dyDescent="0.2">
      <c r="A4716" s="57">
        <v>39173</v>
      </c>
    </row>
    <row r="4717" spans="1:2" x14ac:dyDescent="0.2">
      <c r="A4717" s="57">
        <v>39172</v>
      </c>
    </row>
    <row r="4718" spans="1:2" x14ac:dyDescent="0.2">
      <c r="A4718" s="57">
        <v>39171</v>
      </c>
      <c r="B4718">
        <v>1.3318000000000001</v>
      </c>
    </row>
    <row r="4719" spans="1:2" x14ac:dyDescent="0.2">
      <c r="A4719" s="57">
        <v>39170</v>
      </c>
      <c r="B4719">
        <v>1.3351999999999999</v>
      </c>
    </row>
    <row r="4720" spans="1:2" x14ac:dyDescent="0.2">
      <c r="A4720" s="57">
        <v>39169</v>
      </c>
      <c r="B4720">
        <v>1.3348</v>
      </c>
    </row>
    <row r="4721" spans="1:2" x14ac:dyDescent="0.2">
      <c r="A4721" s="57">
        <v>39168</v>
      </c>
      <c r="B4721">
        <v>1.3347</v>
      </c>
    </row>
    <row r="4722" spans="1:2" x14ac:dyDescent="0.2">
      <c r="A4722" s="57">
        <v>39167</v>
      </c>
      <c r="B4722">
        <v>1.3265</v>
      </c>
    </row>
    <row r="4723" spans="1:2" x14ac:dyDescent="0.2">
      <c r="A4723" s="57">
        <v>39166</v>
      </c>
    </row>
    <row r="4724" spans="1:2" x14ac:dyDescent="0.2">
      <c r="A4724" s="57">
        <v>39165</v>
      </c>
    </row>
    <row r="4725" spans="1:2" x14ac:dyDescent="0.2">
      <c r="A4725" s="57">
        <v>39164</v>
      </c>
      <c r="B4725">
        <v>1.3327</v>
      </c>
    </row>
    <row r="4726" spans="1:2" x14ac:dyDescent="0.2">
      <c r="A4726" s="57">
        <v>39163</v>
      </c>
      <c r="B4726">
        <v>1.3351</v>
      </c>
    </row>
    <row r="4727" spans="1:2" x14ac:dyDescent="0.2">
      <c r="A4727" s="57">
        <v>39162</v>
      </c>
      <c r="B4727">
        <v>1.3292999999999999</v>
      </c>
    </row>
    <row r="4728" spans="1:2" x14ac:dyDescent="0.2">
      <c r="A4728" s="57">
        <v>39161</v>
      </c>
      <c r="B4728">
        <v>1.3295999999999999</v>
      </c>
    </row>
    <row r="4729" spans="1:2" x14ac:dyDescent="0.2">
      <c r="A4729" s="57">
        <v>39160</v>
      </c>
      <c r="B4729">
        <v>1.3303</v>
      </c>
    </row>
    <row r="4730" spans="1:2" x14ac:dyDescent="0.2">
      <c r="A4730" s="57">
        <v>39159</v>
      </c>
    </row>
    <row r="4731" spans="1:2" x14ac:dyDescent="0.2">
      <c r="A4731" s="57">
        <v>39158</v>
      </c>
    </row>
    <row r="4732" spans="1:2" x14ac:dyDescent="0.2">
      <c r="A4732" s="57">
        <v>39157</v>
      </c>
      <c r="B4732">
        <v>1.3325</v>
      </c>
    </row>
    <row r="4733" spans="1:2" x14ac:dyDescent="0.2">
      <c r="A4733" s="57">
        <v>39156</v>
      </c>
      <c r="B4733">
        <v>1.3226</v>
      </c>
    </row>
    <row r="4734" spans="1:2" x14ac:dyDescent="0.2">
      <c r="A4734" s="57">
        <v>39155</v>
      </c>
      <c r="B4734">
        <v>1.3183</v>
      </c>
    </row>
    <row r="4735" spans="1:2" x14ac:dyDescent="0.2">
      <c r="A4735" s="57">
        <v>39154</v>
      </c>
      <c r="B4735">
        <v>1.3218000000000001</v>
      </c>
    </row>
    <row r="4736" spans="1:2" x14ac:dyDescent="0.2">
      <c r="A4736" s="57">
        <v>39153</v>
      </c>
      <c r="B4736">
        <v>1.3156000000000001</v>
      </c>
    </row>
    <row r="4737" spans="1:2" x14ac:dyDescent="0.2">
      <c r="A4737" s="57">
        <v>39152</v>
      </c>
    </row>
    <row r="4738" spans="1:2" x14ac:dyDescent="0.2">
      <c r="A4738" s="57">
        <v>39151</v>
      </c>
    </row>
    <row r="4739" spans="1:2" x14ac:dyDescent="0.2">
      <c r="A4739" s="57">
        <v>39150</v>
      </c>
      <c r="B4739">
        <v>1.3154999999999999</v>
      </c>
    </row>
    <row r="4740" spans="1:2" x14ac:dyDescent="0.2">
      <c r="A4740" s="57">
        <v>39149</v>
      </c>
      <c r="B4740">
        <v>1.3151999999999999</v>
      </c>
    </row>
    <row r="4741" spans="1:2" x14ac:dyDescent="0.2">
      <c r="A4741" s="57">
        <v>39148</v>
      </c>
      <c r="B4741">
        <v>1.3134999999999999</v>
      </c>
    </row>
    <row r="4742" spans="1:2" x14ac:dyDescent="0.2">
      <c r="A4742" s="57">
        <v>39147</v>
      </c>
      <c r="B4742">
        <v>1.31</v>
      </c>
    </row>
    <row r="4743" spans="1:2" x14ac:dyDescent="0.2">
      <c r="A4743" s="57">
        <v>39146</v>
      </c>
      <c r="B4743">
        <v>1.3083</v>
      </c>
    </row>
    <row r="4744" spans="1:2" x14ac:dyDescent="0.2">
      <c r="A4744" s="57">
        <v>39145</v>
      </c>
    </row>
    <row r="4745" spans="1:2" x14ac:dyDescent="0.2">
      <c r="A4745" s="57">
        <v>39144</v>
      </c>
    </row>
    <row r="4746" spans="1:2" x14ac:dyDescent="0.2">
      <c r="A4746" s="57">
        <v>39143</v>
      </c>
      <c r="B4746">
        <v>1.3163</v>
      </c>
    </row>
    <row r="4747" spans="1:2" x14ac:dyDescent="0.2">
      <c r="A4747" s="57">
        <v>39142</v>
      </c>
      <c r="B4747">
        <v>1.3225</v>
      </c>
    </row>
    <row r="4748" spans="1:2" x14ac:dyDescent="0.2">
      <c r="A4748" s="57">
        <v>39141</v>
      </c>
      <c r="B4748">
        <v>1.3210999999999999</v>
      </c>
    </row>
    <row r="4749" spans="1:2" x14ac:dyDescent="0.2">
      <c r="A4749" s="57">
        <v>39140</v>
      </c>
      <c r="B4749">
        <v>1.323</v>
      </c>
    </row>
    <row r="4750" spans="1:2" x14ac:dyDescent="0.2">
      <c r="A4750" s="57">
        <v>39139</v>
      </c>
      <c r="B4750">
        <v>1.3160000000000001</v>
      </c>
    </row>
    <row r="4751" spans="1:2" x14ac:dyDescent="0.2">
      <c r="A4751" s="57">
        <v>39138</v>
      </c>
    </row>
    <row r="4752" spans="1:2" x14ac:dyDescent="0.2">
      <c r="A4752" s="57">
        <v>39137</v>
      </c>
    </row>
    <row r="4753" spans="1:2" x14ac:dyDescent="0.2">
      <c r="A4753" s="57">
        <v>39136</v>
      </c>
      <c r="B4753">
        <v>1.3133999999999999</v>
      </c>
    </row>
    <row r="4754" spans="1:2" x14ac:dyDescent="0.2">
      <c r="A4754" s="57">
        <v>39135</v>
      </c>
      <c r="B4754">
        <v>1.3106</v>
      </c>
    </row>
    <row r="4755" spans="1:2" x14ac:dyDescent="0.2">
      <c r="A4755" s="57">
        <v>39134</v>
      </c>
      <c r="B4755">
        <v>1.3145</v>
      </c>
    </row>
    <row r="4756" spans="1:2" x14ac:dyDescent="0.2">
      <c r="A4756" s="57">
        <v>39133</v>
      </c>
      <c r="B4756">
        <v>1.3145</v>
      </c>
    </row>
    <row r="4757" spans="1:2" x14ac:dyDescent="0.2">
      <c r="A4757" s="57">
        <v>39132</v>
      </c>
      <c r="B4757">
        <v>1.3131999999999999</v>
      </c>
    </row>
    <row r="4758" spans="1:2" x14ac:dyDescent="0.2">
      <c r="A4758" s="57">
        <v>39131</v>
      </c>
    </row>
    <row r="4759" spans="1:2" x14ac:dyDescent="0.2">
      <c r="A4759" s="57">
        <v>39130</v>
      </c>
    </row>
    <row r="4760" spans="1:2" x14ac:dyDescent="0.2">
      <c r="A4760" s="57">
        <v>39129</v>
      </c>
      <c r="B4760">
        <v>1.3119000000000001</v>
      </c>
    </row>
    <row r="4761" spans="1:2" x14ac:dyDescent="0.2">
      <c r="A4761" s="57">
        <v>39128</v>
      </c>
      <c r="B4761">
        <v>1.3137000000000001</v>
      </c>
    </row>
    <row r="4762" spans="1:2" x14ac:dyDescent="0.2">
      <c r="A4762" s="57">
        <v>39127</v>
      </c>
      <c r="B4762">
        <v>1.3082</v>
      </c>
    </row>
    <row r="4763" spans="1:2" x14ac:dyDescent="0.2">
      <c r="A4763" s="57">
        <v>39126</v>
      </c>
      <c r="B4763">
        <v>1.3022</v>
      </c>
    </row>
    <row r="4764" spans="1:2" x14ac:dyDescent="0.2">
      <c r="A4764" s="57">
        <v>39125</v>
      </c>
      <c r="B4764">
        <v>1.2956000000000001</v>
      </c>
    </row>
    <row r="4765" spans="1:2" x14ac:dyDescent="0.2">
      <c r="A4765" s="57">
        <v>39124</v>
      </c>
    </row>
    <row r="4766" spans="1:2" x14ac:dyDescent="0.2">
      <c r="A4766" s="57">
        <v>39123</v>
      </c>
    </row>
    <row r="4767" spans="1:2" x14ac:dyDescent="0.2">
      <c r="A4767" s="57">
        <v>39122</v>
      </c>
      <c r="B4767">
        <v>1.3007</v>
      </c>
    </row>
    <row r="4768" spans="1:2" x14ac:dyDescent="0.2">
      <c r="A4768" s="57">
        <v>39121</v>
      </c>
      <c r="B4768">
        <v>1.2990999999999999</v>
      </c>
    </row>
    <row r="4769" spans="1:2" x14ac:dyDescent="0.2">
      <c r="A4769" s="57">
        <v>39120</v>
      </c>
      <c r="B4769">
        <v>1.2987</v>
      </c>
    </row>
    <row r="4770" spans="1:2" x14ac:dyDescent="0.2">
      <c r="A4770" s="57">
        <v>39119</v>
      </c>
      <c r="B4770">
        <v>1.2955000000000001</v>
      </c>
    </row>
    <row r="4771" spans="1:2" x14ac:dyDescent="0.2">
      <c r="A4771" s="57">
        <v>39118</v>
      </c>
      <c r="B4771">
        <v>1.2925</v>
      </c>
    </row>
    <row r="4772" spans="1:2" x14ac:dyDescent="0.2">
      <c r="A4772" s="57">
        <v>39117</v>
      </c>
    </row>
    <row r="4773" spans="1:2" x14ac:dyDescent="0.2">
      <c r="A4773" s="57">
        <v>39116</v>
      </c>
    </row>
    <row r="4774" spans="1:2" x14ac:dyDescent="0.2">
      <c r="A4774" s="57">
        <v>39115</v>
      </c>
      <c r="B4774">
        <v>1.302</v>
      </c>
    </row>
    <row r="4775" spans="1:2" x14ac:dyDescent="0.2">
      <c r="A4775" s="57">
        <v>39114</v>
      </c>
      <c r="B4775">
        <v>1.302</v>
      </c>
    </row>
    <row r="4776" spans="1:2" x14ac:dyDescent="0.2">
      <c r="A4776" s="57">
        <v>39113</v>
      </c>
      <c r="B4776">
        <v>1.2954000000000001</v>
      </c>
    </row>
    <row r="4777" spans="1:2" x14ac:dyDescent="0.2">
      <c r="A4777" s="57">
        <v>39112</v>
      </c>
      <c r="B4777">
        <v>1.2971999999999999</v>
      </c>
    </row>
    <row r="4778" spans="1:2" x14ac:dyDescent="0.2">
      <c r="A4778" s="57">
        <v>39111</v>
      </c>
      <c r="B4778">
        <v>1.2921</v>
      </c>
    </row>
    <row r="4779" spans="1:2" x14ac:dyDescent="0.2">
      <c r="A4779" s="57">
        <v>39110</v>
      </c>
    </row>
    <row r="4780" spans="1:2" x14ac:dyDescent="0.2">
      <c r="A4780" s="57">
        <v>39109</v>
      </c>
    </row>
    <row r="4781" spans="1:2" x14ac:dyDescent="0.2">
      <c r="A4781" s="57">
        <v>39108</v>
      </c>
      <c r="B4781">
        <v>1.2901</v>
      </c>
    </row>
    <row r="4782" spans="1:2" x14ac:dyDescent="0.2">
      <c r="A4782" s="57">
        <v>39107</v>
      </c>
      <c r="B4782">
        <v>1.2978000000000001</v>
      </c>
    </row>
    <row r="4783" spans="1:2" x14ac:dyDescent="0.2">
      <c r="A4783" s="57">
        <v>39106</v>
      </c>
      <c r="B4783">
        <v>1.3005</v>
      </c>
    </row>
    <row r="4784" spans="1:2" x14ac:dyDescent="0.2">
      <c r="A4784" s="57">
        <v>39105</v>
      </c>
      <c r="B4784">
        <v>1.304</v>
      </c>
    </row>
    <row r="4785" spans="1:2" x14ac:dyDescent="0.2">
      <c r="A4785" s="57">
        <v>39104</v>
      </c>
      <c r="B4785">
        <v>1.2936000000000001</v>
      </c>
    </row>
    <row r="4786" spans="1:2" x14ac:dyDescent="0.2">
      <c r="A4786" s="57">
        <v>39103</v>
      </c>
    </row>
    <row r="4787" spans="1:2" x14ac:dyDescent="0.2">
      <c r="A4787" s="57">
        <v>39102</v>
      </c>
    </row>
    <row r="4788" spans="1:2" x14ac:dyDescent="0.2">
      <c r="A4788" s="57">
        <v>39101</v>
      </c>
      <c r="B4788">
        <v>1.2958000000000001</v>
      </c>
    </row>
    <row r="4789" spans="1:2" x14ac:dyDescent="0.2">
      <c r="A4789" s="57">
        <v>39100</v>
      </c>
      <c r="B4789">
        <v>1.2922</v>
      </c>
    </row>
    <row r="4790" spans="1:2" x14ac:dyDescent="0.2">
      <c r="A4790" s="57">
        <v>39099</v>
      </c>
      <c r="B4790">
        <v>1.2908999999999999</v>
      </c>
    </row>
    <row r="4791" spans="1:2" x14ac:dyDescent="0.2">
      <c r="A4791" s="57">
        <v>39098</v>
      </c>
      <c r="B4791">
        <v>1.2952999999999999</v>
      </c>
    </row>
    <row r="4792" spans="1:2" x14ac:dyDescent="0.2">
      <c r="A4792" s="57">
        <v>39097</v>
      </c>
      <c r="B4792">
        <v>1.2941</v>
      </c>
    </row>
    <row r="4793" spans="1:2" x14ac:dyDescent="0.2">
      <c r="A4793" s="57">
        <v>39096</v>
      </c>
    </row>
    <row r="4794" spans="1:2" x14ac:dyDescent="0.2">
      <c r="A4794" s="57">
        <v>39095</v>
      </c>
    </row>
    <row r="4795" spans="1:2" x14ac:dyDescent="0.2">
      <c r="A4795" s="57">
        <v>39094</v>
      </c>
      <c r="B4795">
        <v>1.2892999999999999</v>
      </c>
    </row>
    <row r="4796" spans="1:2" x14ac:dyDescent="0.2">
      <c r="A4796" s="57">
        <v>39093</v>
      </c>
      <c r="B4796">
        <v>1.2984</v>
      </c>
    </row>
    <row r="4797" spans="1:2" x14ac:dyDescent="0.2">
      <c r="A4797" s="57">
        <v>39092</v>
      </c>
      <c r="B4797">
        <v>1.2988</v>
      </c>
    </row>
    <row r="4798" spans="1:2" x14ac:dyDescent="0.2">
      <c r="A4798" s="57">
        <v>39091</v>
      </c>
      <c r="B4798">
        <v>1.3018000000000001</v>
      </c>
    </row>
    <row r="4799" spans="1:2" x14ac:dyDescent="0.2">
      <c r="A4799" s="57">
        <v>39090</v>
      </c>
      <c r="B4799">
        <v>1.3006</v>
      </c>
    </row>
    <row r="4800" spans="1:2" x14ac:dyDescent="0.2">
      <c r="A4800" s="57">
        <v>39089</v>
      </c>
    </row>
    <row r="4801" spans="1:2" x14ac:dyDescent="0.2">
      <c r="A4801" s="57">
        <v>39088</v>
      </c>
    </row>
    <row r="4802" spans="1:2" x14ac:dyDescent="0.2">
      <c r="A4802" s="57">
        <v>39087</v>
      </c>
      <c r="B4802">
        <v>1.3084</v>
      </c>
    </row>
    <row r="4803" spans="1:2" x14ac:dyDescent="0.2">
      <c r="A4803" s="57">
        <v>39086</v>
      </c>
      <c r="B4803">
        <v>1.3106</v>
      </c>
    </row>
    <row r="4804" spans="1:2" x14ac:dyDescent="0.2">
      <c r="A4804" s="57">
        <v>39085</v>
      </c>
      <c r="B4804">
        <v>1.3230999999999999</v>
      </c>
    </row>
    <row r="4805" spans="1:2" x14ac:dyDescent="0.2">
      <c r="A4805" s="57">
        <v>39084</v>
      </c>
      <c r="B4805">
        <v>1.327</v>
      </c>
    </row>
    <row r="4806" spans="1:2" x14ac:dyDescent="0.2">
      <c r="A4806" s="57">
        <v>39083</v>
      </c>
    </row>
    <row r="4807" spans="1:2" x14ac:dyDescent="0.2">
      <c r="A4807" s="57">
        <v>39082</v>
      </c>
    </row>
    <row r="4808" spans="1:2" x14ac:dyDescent="0.2">
      <c r="A4808" s="57">
        <v>39081</v>
      </c>
    </row>
    <row r="4809" spans="1:2" x14ac:dyDescent="0.2">
      <c r="A4809" s="57">
        <v>39080</v>
      </c>
      <c r="B4809">
        <v>1.3169999999999999</v>
      </c>
    </row>
    <row r="4810" spans="1:2" x14ac:dyDescent="0.2">
      <c r="A4810" s="57">
        <v>39079</v>
      </c>
      <c r="B4810">
        <v>1.3172999999999999</v>
      </c>
    </row>
    <row r="4811" spans="1:2" x14ac:dyDescent="0.2">
      <c r="A4811" s="57">
        <v>39078</v>
      </c>
      <c r="B4811">
        <v>1.3159000000000001</v>
      </c>
    </row>
    <row r="4812" spans="1:2" x14ac:dyDescent="0.2">
      <c r="A4812" s="57">
        <v>39077</v>
      </c>
    </row>
    <row r="4813" spans="1:2" x14ac:dyDescent="0.2">
      <c r="A4813" s="57">
        <v>39076</v>
      </c>
    </row>
    <row r="4814" spans="1:2" x14ac:dyDescent="0.2">
      <c r="A4814" s="57">
        <v>39075</v>
      </c>
    </row>
    <row r="4815" spans="1:2" x14ac:dyDescent="0.2">
      <c r="A4815" s="57">
        <v>39074</v>
      </c>
    </row>
    <row r="4816" spans="1:2" x14ac:dyDescent="0.2">
      <c r="A4816" s="57">
        <v>39073</v>
      </c>
      <c r="B4816">
        <v>1.3191999999999999</v>
      </c>
    </row>
    <row r="4817" spans="1:2" x14ac:dyDescent="0.2">
      <c r="A4817" s="57">
        <v>39072</v>
      </c>
      <c r="B4817">
        <v>1.3178000000000001</v>
      </c>
    </row>
    <row r="4818" spans="1:2" x14ac:dyDescent="0.2">
      <c r="A4818" s="57">
        <v>39071</v>
      </c>
      <c r="B4818">
        <v>1.3203</v>
      </c>
    </row>
    <row r="4819" spans="1:2" x14ac:dyDescent="0.2">
      <c r="A4819" s="57">
        <v>39070</v>
      </c>
      <c r="B4819">
        <v>1.3158000000000001</v>
      </c>
    </row>
    <row r="4820" spans="1:2" x14ac:dyDescent="0.2">
      <c r="A4820" s="57">
        <v>39069</v>
      </c>
      <c r="B4820">
        <v>1.3095000000000001</v>
      </c>
    </row>
    <row r="4821" spans="1:2" x14ac:dyDescent="0.2">
      <c r="A4821" s="57">
        <v>39068</v>
      </c>
    </row>
    <row r="4822" spans="1:2" x14ac:dyDescent="0.2">
      <c r="A4822" s="57">
        <v>39067</v>
      </c>
    </row>
    <row r="4823" spans="1:2" x14ac:dyDescent="0.2">
      <c r="A4823" s="57">
        <v>39066</v>
      </c>
      <c r="B4823">
        <v>1.3106</v>
      </c>
    </row>
    <row r="4824" spans="1:2" x14ac:dyDescent="0.2">
      <c r="A4824" s="57">
        <v>39065</v>
      </c>
      <c r="B4824">
        <v>1.3191999999999999</v>
      </c>
    </row>
    <row r="4825" spans="1:2" x14ac:dyDescent="0.2">
      <c r="A4825" s="57">
        <v>39064</v>
      </c>
      <c r="B4825">
        <v>1.3265</v>
      </c>
    </row>
    <row r="4826" spans="1:2" x14ac:dyDescent="0.2">
      <c r="A4826" s="57">
        <v>39063</v>
      </c>
      <c r="B4826">
        <v>1.3244</v>
      </c>
    </row>
    <row r="4827" spans="1:2" x14ac:dyDescent="0.2">
      <c r="A4827" s="57">
        <v>39062</v>
      </c>
      <c r="B4827">
        <v>1.3177000000000001</v>
      </c>
    </row>
    <row r="4828" spans="1:2" x14ac:dyDescent="0.2">
      <c r="A4828" s="57">
        <v>39061</v>
      </c>
    </row>
    <row r="4829" spans="1:2" x14ac:dyDescent="0.2">
      <c r="A4829" s="57">
        <v>39060</v>
      </c>
    </row>
    <row r="4830" spans="1:2" x14ac:dyDescent="0.2">
      <c r="A4830" s="57">
        <v>39059</v>
      </c>
      <c r="B4830">
        <v>1.3275999999999999</v>
      </c>
    </row>
    <row r="4831" spans="1:2" x14ac:dyDescent="0.2">
      <c r="A4831" s="57">
        <v>39058</v>
      </c>
      <c r="B4831">
        <v>1.3297000000000001</v>
      </c>
    </row>
    <row r="4832" spans="1:2" x14ac:dyDescent="0.2">
      <c r="A4832" s="57">
        <v>39057</v>
      </c>
      <c r="B4832">
        <v>1.3273999999999999</v>
      </c>
    </row>
    <row r="4833" spans="1:2" x14ac:dyDescent="0.2">
      <c r="A4833" s="57">
        <v>39056</v>
      </c>
      <c r="B4833">
        <v>1.3331</v>
      </c>
    </row>
    <row r="4834" spans="1:2" x14ac:dyDescent="0.2">
      <c r="A4834" s="57">
        <v>39055</v>
      </c>
      <c r="B4834">
        <v>1.3309</v>
      </c>
    </row>
    <row r="4835" spans="1:2" x14ac:dyDescent="0.2">
      <c r="A4835" s="57">
        <v>39054</v>
      </c>
    </row>
    <row r="4836" spans="1:2" x14ac:dyDescent="0.2">
      <c r="A4836" s="57">
        <v>39053</v>
      </c>
    </row>
    <row r="4837" spans="1:2" x14ac:dyDescent="0.2">
      <c r="A4837" s="57">
        <v>39052</v>
      </c>
      <c r="B4837">
        <v>1.3244</v>
      </c>
    </row>
    <row r="4838" spans="1:2" x14ac:dyDescent="0.2">
      <c r="A4838" s="57">
        <v>39051</v>
      </c>
      <c r="B4838">
        <v>1.32</v>
      </c>
    </row>
    <row r="4839" spans="1:2" x14ac:dyDescent="0.2">
      <c r="A4839" s="57">
        <v>39050</v>
      </c>
      <c r="B4839">
        <v>1.3157000000000001</v>
      </c>
    </row>
    <row r="4840" spans="1:2" x14ac:dyDescent="0.2">
      <c r="A4840" s="57">
        <v>39049</v>
      </c>
      <c r="B4840">
        <v>1.3147</v>
      </c>
    </row>
    <row r="4841" spans="1:2" x14ac:dyDescent="0.2">
      <c r="A4841" s="57">
        <v>39048</v>
      </c>
      <c r="B4841">
        <v>1.3113999999999999</v>
      </c>
    </row>
    <row r="4842" spans="1:2" x14ac:dyDescent="0.2">
      <c r="A4842" s="57">
        <v>39047</v>
      </c>
    </row>
    <row r="4843" spans="1:2" x14ac:dyDescent="0.2">
      <c r="A4843" s="57">
        <v>39046</v>
      </c>
    </row>
    <row r="4844" spans="1:2" x14ac:dyDescent="0.2">
      <c r="A4844" s="57">
        <v>39045</v>
      </c>
      <c r="B4844">
        <v>1.3078000000000001</v>
      </c>
    </row>
    <row r="4845" spans="1:2" x14ac:dyDescent="0.2">
      <c r="A4845" s="57">
        <v>39044</v>
      </c>
      <c r="B4845">
        <v>1.2952999999999999</v>
      </c>
    </row>
    <row r="4846" spans="1:2" x14ac:dyDescent="0.2">
      <c r="A4846" s="57">
        <v>39043</v>
      </c>
      <c r="B4846">
        <v>1.2886</v>
      </c>
    </row>
    <row r="4847" spans="1:2" x14ac:dyDescent="0.2">
      <c r="A4847" s="57">
        <v>39042</v>
      </c>
      <c r="B4847">
        <v>1.2814000000000001</v>
      </c>
    </row>
    <row r="4848" spans="1:2" x14ac:dyDescent="0.2">
      <c r="A4848" s="57">
        <v>39041</v>
      </c>
      <c r="B4848">
        <v>1.2841</v>
      </c>
    </row>
    <row r="4849" spans="1:2" x14ac:dyDescent="0.2">
      <c r="A4849" s="57">
        <v>39040</v>
      </c>
    </row>
    <row r="4850" spans="1:2" x14ac:dyDescent="0.2">
      <c r="A4850" s="57">
        <v>39039</v>
      </c>
    </row>
    <row r="4851" spans="1:2" x14ac:dyDescent="0.2">
      <c r="A4851" s="57">
        <v>39038</v>
      </c>
      <c r="B4851">
        <v>1.2774000000000001</v>
      </c>
    </row>
    <row r="4852" spans="1:2" x14ac:dyDescent="0.2">
      <c r="A4852" s="57">
        <v>39037</v>
      </c>
      <c r="B4852">
        <v>1.2804</v>
      </c>
    </row>
    <row r="4853" spans="1:2" x14ac:dyDescent="0.2">
      <c r="A4853" s="57">
        <v>39036</v>
      </c>
      <c r="B4853">
        <v>1.2791999999999999</v>
      </c>
    </row>
    <row r="4854" spans="1:2" x14ac:dyDescent="0.2">
      <c r="A4854" s="57">
        <v>39035</v>
      </c>
      <c r="B4854">
        <v>1.2824</v>
      </c>
    </row>
    <row r="4855" spans="1:2" x14ac:dyDescent="0.2">
      <c r="A4855" s="57">
        <v>39034</v>
      </c>
      <c r="B4855">
        <v>1.2829999999999999</v>
      </c>
    </row>
    <row r="4856" spans="1:2" x14ac:dyDescent="0.2">
      <c r="A4856" s="57">
        <v>39033</v>
      </c>
    </row>
    <row r="4857" spans="1:2" x14ac:dyDescent="0.2">
      <c r="A4857" s="57">
        <v>39032</v>
      </c>
    </row>
    <row r="4858" spans="1:2" x14ac:dyDescent="0.2">
      <c r="A4858" s="57">
        <v>39031</v>
      </c>
      <c r="B4858">
        <v>1.2864</v>
      </c>
    </row>
    <row r="4859" spans="1:2" x14ac:dyDescent="0.2">
      <c r="A4859" s="57">
        <v>39030</v>
      </c>
      <c r="B4859">
        <v>1.2796000000000001</v>
      </c>
    </row>
    <row r="4860" spans="1:2" x14ac:dyDescent="0.2">
      <c r="A4860" s="57">
        <v>39029</v>
      </c>
      <c r="B4860">
        <v>1.2776000000000001</v>
      </c>
    </row>
    <row r="4861" spans="1:2" x14ac:dyDescent="0.2">
      <c r="A4861" s="57">
        <v>39028</v>
      </c>
      <c r="B4861">
        <v>1.2755000000000001</v>
      </c>
    </row>
    <row r="4862" spans="1:2" x14ac:dyDescent="0.2">
      <c r="A4862" s="57">
        <v>39027</v>
      </c>
      <c r="B4862">
        <v>1.2702</v>
      </c>
    </row>
    <row r="4863" spans="1:2" x14ac:dyDescent="0.2">
      <c r="A4863" s="57">
        <v>39026</v>
      </c>
    </row>
    <row r="4864" spans="1:2" x14ac:dyDescent="0.2">
      <c r="A4864" s="57">
        <v>39025</v>
      </c>
    </row>
    <row r="4865" spans="1:2" x14ac:dyDescent="0.2">
      <c r="A4865" s="57">
        <v>39024</v>
      </c>
      <c r="B4865">
        <v>1.276</v>
      </c>
    </row>
    <row r="4866" spans="1:2" x14ac:dyDescent="0.2">
      <c r="A4866" s="57">
        <v>39023</v>
      </c>
      <c r="B4866">
        <v>1.2766999999999999</v>
      </c>
    </row>
    <row r="4867" spans="1:2" x14ac:dyDescent="0.2">
      <c r="A4867" s="57">
        <v>39022</v>
      </c>
      <c r="B4867">
        <v>1.2757000000000001</v>
      </c>
    </row>
    <row r="4868" spans="1:2" x14ac:dyDescent="0.2">
      <c r="A4868" s="57">
        <v>39021</v>
      </c>
      <c r="B4868">
        <v>1.2696000000000001</v>
      </c>
    </row>
    <row r="4869" spans="1:2" x14ac:dyDescent="0.2">
      <c r="A4869" s="57">
        <v>39020</v>
      </c>
      <c r="B4869">
        <v>1.2717000000000001</v>
      </c>
    </row>
    <row r="4870" spans="1:2" x14ac:dyDescent="0.2">
      <c r="A4870" s="57">
        <v>39019</v>
      </c>
    </row>
    <row r="4871" spans="1:2" x14ac:dyDescent="0.2">
      <c r="A4871" s="57">
        <v>39018</v>
      </c>
    </row>
    <row r="4872" spans="1:2" x14ac:dyDescent="0.2">
      <c r="A4872" s="57">
        <v>39017</v>
      </c>
      <c r="B4872">
        <v>1.2683</v>
      </c>
    </row>
    <row r="4873" spans="1:2" x14ac:dyDescent="0.2">
      <c r="A4873" s="57">
        <v>39016</v>
      </c>
      <c r="B4873">
        <v>1.2653000000000001</v>
      </c>
    </row>
    <row r="4874" spans="1:2" x14ac:dyDescent="0.2">
      <c r="A4874" s="57">
        <v>39015</v>
      </c>
      <c r="B4874">
        <v>1.258</v>
      </c>
    </row>
    <row r="4875" spans="1:2" x14ac:dyDescent="0.2">
      <c r="A4875" s="57">
        <v>39014</v>
      </c>
      <c r="B4875">
        <v>1.2541</v>
      </c>
    </row>
    <row r="4876" spans="1:2" x14ac:dyDescent="0.2">
      <c r="A4876" s="57">
        <v>39013</v>
      </c>
      <c r="B4876">
        <v>1.2556</v>
      </c>
    </row>
    <row r="4877" spans="1:2" x14ac:dyDescent="0.2">
      <c r="A4877" s="57">
        <v>39012</v>
      </c>
    </row>
    <row r="4878" spans="1:2" x14ac:dyDescent="0.2">
      <c r="A4878" s="57">
        <v>39011</v>
      </c>
    </row>
    <row r="4879" spans="1:2" x14ac:dyDescent="0.2">
      <c r="A4879" s="57">
        <v>39010</v>
      </c>
      <c r="B4879">
        <v>1.2618</v>
      </c>
    </row>
    <row r="4880" spans="1:2" x14ac:dyDescent="0.2">
      <c r="A4880" s="57">
        <v>39009</v>
      </c>
      <c r="B4880">
        <v>1.2561</v>
      </c>
    </row>
    <row r="4881" spans="1:2" x14ac:dyDescent="0.2">
      <c r="A4881" s="57">
        <v>39008</v>
      </c>
      <c r="B4881">
        <v>1.2543</v>
      </c>
    </row>
    <row r="4882" spans="1:2" x14ac:dyDescent="0.2">
      <c r="A4882" s="57">
        <v>39007</v>
      </c>
      <c r="B4882">
        <v>1.2524</v>
      </c>
    </row>
    <row r="4883" spans="1:2" x14ac:dyDescent="0.2">
      <c r="A4883" s="57">
        <v>39006</v>
      </c>
      <c r="B4883">
        <v>1.2515000000000001</v>
      </c>
    </row>
    <row r="4884" spans="1:2" x14ac:dyDescent="0.2">
      <c r="A4884" s="57">
        <v>39005</v>
      </c>
    </row>
    <row r="4885" spans="1:2" x14ac:dyDescent="0.2">
      <c r="A4885" s="57">
        <v>39004</v>
      </c>
    </row>
    <row r="4886" spans="1:2" x14ac:dyDescent="0.2">
      <c r="A4886" s="57">
        <v>39003</v>
      </c>
      <c r="B4886">
        <v>1.2549999999999999</v>
      </c>
    </row>
    <row r="4887" spans="1:2" x14ac:dyDescent="0.2">
      <c r="A4887" s="57">
        <v>39002</v>
      </c>
      <c r="B4887">
        <v>1.2531000000000001</v>
      </c>
    </row>
    <row r="4888" spans="1:2" x14ac:dyDescent="0.2">
      <c r="A4888" s="57">
        <v>39001</v>
      </c>
      <c r="B4888">
        <v>1.2543</v>
      </c>
    </row>
    <row r="4889" spans="1:2" x14ac:dyDescent="0.2">
      <c r="A4889" s="57">
        <v>39000</v>
      </c>
      <c r="B4889">
        <v>1.2538</v>
      </c>
    </row>
    <row r="4890" spans="1:2" x14ac:dyDescent="0.2">
      <c r="A4890" s="57">
        <v>38999</v>
      </c>
      <c r="B4890">
        <v>1.2603</v>
      </c>
    </row>
    <row r="4891" spans="1:2" x14ac:dyDescent="0.2">
      <c r="A4891" s="57">
        <v>38998</v>
      </c>
    </row>
    <row r="4892" spans="1:2" x14ac:dyDescent="0.2">
      <c r="A4892" s="57">
        <v>38997</v>
      </c>
    </row>
    <row r="4893" spans="1:2" x14ac:dyDescent="0.2">
      <c r="A4893" s="57">
        <v>38996</v>
      </c>
      <c r="B4893">
        <v>1.2664</v>
      </c>
    </row>
    <row r="4894" spans="1:2" x14ac:dyDescent="0.2">
      <c r="A4894" s="57">
        <v>38995</v>
      </c>
      <c r="B4894">
        <v>1.2721</v>
      </c>
    </row>
    <row r="4895" spans="1:2" x14ac:dyDescent="0.2">
      <c r="A4895" s="57">
        <v>38994</v>
      </c>
      <c r="B4895">
        <v>1.2684</v>
      </c>
    </row>
    <row r="4896" spans="1:2" x14ac:dyDescent="0.2">
      <c r="A4896" s="57">
        <v>38993</v>
      </c>
      <c r="B4896">
        <v>1.2737000000000001</v>
      </c>
    </row>
    <row r="4897" spans="1:2" x14ac:dyDescent="0.2">
      <c r="A4897" s="57">
        <v>38992</v>
      </c>
      <c r="B4897">
        <v>1.2685</v>
      </c>
    </row>
    <row r="4898" spans="1:2" x14ac:dyDescent="0.2">
      <c r="A4898" s="57">
        <v>38991</v>
      </c>
    </row>
    <row r="4899" spans="1:2" x14ac:dyDescent="0.2">
      <c r="A4899" s="57">
        <v>38990</v>
      </c>
    </row>
    <row r="4900" spans="1:2" x14ac:dyDescent="0.2">
      <c r="A4900" s="57">
        <v>38989</v>
      </c>
      <c r="B4900">
        <v>1.266</v>
      </c>
    </row>
    <row r="4901" spans="1:2" x14ac:dyDescent="0.2">
      <c r="A4901" s="57">
        <v>38988</v>
      </c>
      <c r="B4901">
        <v>1.2713000000000001</v>
      </c>
    </row>
    <row r="4902" spans="1:2" x14ac:dyDescent="0.2">
      <c r="A4902" s="57">
        <v>38987</v>
      </c>
      <c r="B4902">
        <v>1.2684</v>
      </c>
    </row>
    <row r="4903" spans="1:2" x14ac:dyDescent="0.2">
      <c r="A4903" s="57">
        <v>38986</v>
      </c>
      <c r="B4903">
        <v>1.2695000000000001</v>
      </c>
    </row>
    <row r="4904" spans="1:2" x14ac:dyDescent="0.2">
      <c r="A4904" s="57">
        <v>38985</v>
      </c>
      <c r="B4904">
        <v>1.2767999999999999</v>
      </c>
    </row>
    <row r="4905" spans="1:2" x14ac:dyDescent="0.2">
      <c r="A4905" s="57">
        <v>38984</v>
      </c>
    </row>
    <row r="4906" spans="1:2" x14ac:dyDescent="0.2">
      <c r="A4906" s="57">
        <v>38983</v>
      </c>
    </row>
    <row r="4907" spans="1:2" x14ac:dyDescent="0.2">
      <c r="A4907" s="57">
        <v>38982</v>
      </c>
      <c r="B4907">
        <v>1.2817000000000001</v>
      </c>
    </row>
    <row r="4908" spans="1:2" x14ac:dyDescent="0.2">
      <c r="A4908" s="57">
        <v>38981</v>
      </c>
      <c r="B4908">
        <v>1.2730999999999999</v>
      </c>
    </row>
    <row r="4909" spans="1:2" x14ac:dyDescent="0.2">
      <c r="A4909" s="57">
        <v>38980</v>
      </c>
      <c r="B4909">
        <v>1.2676000000000001</v>
      </c>
    </row>
    <row r="4910" spans="1:2" x14ac:dyDescent="0.2">
      <c r="A4910" s="57">
        <v>38979</v>
      </c>
      <c r="B4910">
        <v>1.2654000000000001</v>
      </c>
    </row>
    <row r="4911" spans="1:2" x14ac:dyDescent="0.2">
      <c r="A4911" s="57">
        <v>38978</v>
      </c>
      <c r="B4911">
        <v>1.2665</v>
      </c>
    </row>
    <row r="4912" spans="1:2" x14ac:dyDescent="0.2">
      <c r="A4912" s="57">
        <v>38977</v>
      </c>
    </row>
    <row r="4913" spans="1:2" x14ac:dyDescent="0.2">
      <c r="A4913" s="57">
        <v>38976</v>
      </c>
    </row>
    <row r="4914" spans="1:2" x14ac:dyDescent="0.2">
      <c r="A4914" s="57">
        <v>38975</v>
      </c>
      <c r="B4914">
        <v>1.2675000000000001</v>
      </c>
    </row>
    <row r="4915" spans="1:2" x14ac:dyDescent="0.2">
      <c r="A4915" s="57">
        <v>38974</v>
      </c>
      <c r="B4915">
        <v>1.2723</v>
      </c>
    </row>
    <row r="4916" spans="1:2" x14ac:dyDescent="0.2">
      <c r="A4916" s="57">
        <v>38973</v>
      </c>
      <c r="B4916">
        <v>1.2677</v>
      </c>
    </row>
    <row r="4917" spans="1:2" x14ac:dyDescent="0.2">
      <c r="A4917" s="57">
        <v>38972</v>
      </c>
      <c r="B4917">
        <v>1.2708999999999999</v>
      </c>
    </row>
    <row r="4918" spans="1:2" x14ac:dyDescent="0.2">
      <c r="A4918" s="57">
        <v>38971</v>
      </c>
      <c r="B4918">
        <v>1.2713000000000001</v>
      </c>
    </row>
    <row r="4919" spans="1:2" x14ac:dyDescent="0.2">
      <c r="A4919" s="57">
        <v>38970</v>
      </c>
    </row>
    <row r="4920" spans="1:2" x14ac:dyDescent="0.2">
      <c r="A4920" s="57">
        <v>38969</v>
      </c>
    </row>
    <row r="4921" spans="1:2" x14ac:dyDescent="0.2">
      <c r="A4921" s="57">
        <v>38968</v>
      </c>
      <c r="B4921">
        <v>1.2713000000000001</v>
      </c>
    </row>
    <row r="4922" spans="1:2" x14ac:dyDescent="0.2">
      <c r="A4922" s="57">
        <v>38967</v>
      </c>
      <c r="B4922">
        <v>1.2730999999999999</v>
      </c>
    </row>
    <row r="4923" spans="1:2" x14ac:dyDescent="0.2">
      <c r="A4923" s="57">
        <v>38966</v>
      </c>
      <c r="B4923">
        <v>1.2793000000000001</v>
      </c>
    </row>
    <row r="4924" spans="1:2" x14ac:dyDescent="0.2">
      <c r="A4924" s="57">
        <v>38965</v>
      </c>
      <c r="B4924">
        <v>1.2809999999999999</v>
      </c>
    </row>
    <row r="4925" spans="1:2" x14ac:dyDescent="0.2">
      <c r="A4925" s="57">
        <v>38964</v>
      </c>
      <c r="B4925">
        <v>1.2851999999999999</v>
      </c>
    </row>
    <row r="4926" spans="1:2" x14ac:dyDescent="0.2">
      <c r="A4926" s="57">
        <v>38963</v>
      </c>
    </row>
    <row r="4927" spans="1:2" x14ac:dyDescent="0.2">
      <c r="A4927" s="57">
        <v>38962</v>
      </c>
    </row>
    <row r="4928" spans="1:2" x14ac:dyDescent="0.2">
      <c r="A4928" s="57">
        <v>38961</v>
      </c>
      <c r="B4928">
        <v>1.2817000000000001</v>
      </c>
    </row>
    <row r="4929" spans="1:2" x14ac:dyDescent="0.2">
      <c r="A4929" s="57">
        <v>38960</v>
      </c>
      <c r="B4929">
        <v>1.2850999999999999</v>
      </c>
    </row>
    <row r="4930" spans="1:2" x14ac:dyDescent="0.2">
      <c r="A4930" s="57">
        <v>38959</v>
      </c>
      <c r="B4930">
        <v>1.2818000000000001</v>
      </c>
    </row>
    <row r="4931" spans="1:2" x14ac:dyDescent="0.2">
      <c r="A4931" s="57">
        <v>38958</v>
      </c>
      <c r="B4931">
        <v>1.2807999999999999</v>
      </c>
    </row>
    <row r="4932" spans="1:2" x14ac:dyDescent="0.2">
      <c r="A4932" s="57">
        <v>38957</v>
      </c>
      <c r="B4932">
        <v>1.28</v>
      </c>
    </row>
    <row r="4933" spans="1:2" x14ac:dyDescent="0.2">
      <c r="A4933" s="57">
        <v>38956</v>
      </c>
    </row>
    <row r="4934" spans="1:2" x14ac:dyDescent="0.2">
      <c r="A4934" s="57">
        <v>38955</v>
      </c>
    </row>
    <row r="4935" spans="1:2" x14ac:dyDescent="0.2">
      <c r="A4935" s="57">
        <v>38954</v>
      </c>
      <c r="B4935">
        <v>1.2762</v>
      </c>
    </row>
    <row r="4936" spans="1:2" x14ac:dyDescent="0.2">
      <c r="A4936" s="57">
        <v>38953</v>
      </c>
      <c r="B4936">
        <v>1.2830999999999999</v>
      </c>
    </row>
    <row r="4937" spans="1:2" x14ac:dyDescent="0.2">
      <c r="A4937" s="57">
        <v>38952</v>
      </c>
      <c r="B4937">
        <v>1.2811999999999999</v>
      </c>
    </row>
    <row r="4938" spans="1:2" x14ac:dyDescent="0.2">
      <c r="A4938" s="57">
        <v>38951</v>
      </c>
      <c r="B4938">
        <v>1.2811999999999999</v>
      </c>
    </row>
    <row r="4939" spans="1:2" x14ac:dyDescent="0.2">
      <c r="A4939" s="57">
        <v>38950</v>
      </c>
      <c r="B4939">
        <v>1.2919</v>
      </c>
    </row>
    <row r="4940" spans="1:2" x14ac:dyDescent="0.2">
      <c r="A4940" s="57">
        <v>38949</v>
      </c>
    </row>
    <row r="4941" spans="1:2" x14ac:dyDescent="0.2">
      <c r="A4941" s="57">
        <v>38948</v>
      </c>
    </row>
    <row r="4942" spans="1:2" x14ac:dyDescent="0.2">
      <c r="A4942" s="57">
        <v>38947</v>
      </c>
      <c r="B4942">
        <v>1.2802</v>
      </c>
    </row>
    <row r="4943" spans="1:2" x14ac:dyDescent="0.2">
      <c r="A4943" s="57">
        <v>38946</v>
      </c>
      <c r="B4943">
        <v>1.2879</v>
      </c>
    </row>
    <row r="4944" spans="1:2" x14ac:dyDescent="0.2">
      <c r="A4944" s="57">
        <v>38945</v>
      </c>
      <c r="B4944">
        <v>1.2793000000000001</v>
      </c>
    </row>
    <row r="4945" spans="1:2" x14ac:dyDescent="0.2">
      <c r="A4945" s="57">
        <v>38944</v>
      </c>
      <c r="B4945">
        <v>1.2725</v>
      </c>
    </row>
    <row r="4946" spans="1:2" x14ac:dyDescent="0.2">
      <c r="A4946" s="57">
        <v>38943</v>
      </c>
      <c r="B4946">
        <v>1.2718</v>
      </c>
    </row>
    <row r="4947" spans="1:2" x14ac:dyDescent="0.2">
      <c r="A4947" s="57">
        <v>38942</v>
      </c>
    </row>
    <row r="4948" spans="1:2" x14ac:dyDescent="0.2">
      <c r="A4948" s="57">
        <v>38941</v>
      </c>
    </row>
    <row r="4949" spans="1:2" x14ac:dyDescent="0.2">
      <c r="A4949" s="57">
        <v>38940</v>
      </c>
      <c r="B4949">
        <v>1.2775000000000001</v>
      </c>
    </row>
    <row r="4950" spans="1:2" x14ac:dyDescent="0.2">
      <c r="A4950" s="57">
        <v>38939</v>
      </c>
      <c r="B4950">
        <v>1.2857000000000001</v>
      </c>
    </row>
    <row r="4951" spans="1:2" x14ac:dyDescent="0.2">
      <c r="A4951" s="57">
        <v>38938</v>
      </c>
      <c r="B4951">
        <v>1.2879</v>
      </c>
    </row>
    <row r="4952" spans="1:2" x14ac:dyDescent="0.2">
      <c r="A4952" s="57">
        <v>38937</v>
      </c>
      <c r="B4952">
        <v>1.2839</v>
      </c>
    </row>
    <row r="4953" spans="1:2" x14ac:dyDescent="0.2">
      <c r="A4953" s="57">
        <v>38936</v>
      </c>
      <c r="B4953">
        <v>1.2849999999999999</v>
      </c>
    </row>
    <row r="4954" spans="1:2" x14ac:dyDescent="0.2">
      <c r="A4954" s="57">
        <v>38935</v>
      </c>
    </row>
    <row r="4955" spans="1:2" x14ac:dyDescent="0.2">
      <c r="A4955" s="57">
        <v>38934</v>
      </c>
    </row>
    <row r="4956" spans="1:2" x14ac:dyDescent="0.2">
      <c r="A4956" s="57">
        <v>38933</v>
      </c>
      <c r="B4956">
        <v>1.2791999999999999</v>
      </c>
    </row>
    <row r="4957" spans="1:2" x14ac:dyDescent="0.2">
      <c r="A4957" s="57">
        <v>38932</v>
      </c>
      <c r="B4957">
        <v>1.2781</v>
      </c>
    </row>
    <row r="4958" spans="1:2" x14ac:dyDescent="0.2">
      <c r="A4958" s="57">
        <v>38931</v>
      </c>
      <c r="B4958">
        <v>1.2798</v>
      </c>
    </row>
    <row r="4959" spans="1:2" x14ac:dyDescent="0.2">
      <c r="A4959" s="57">
        <v>38930</v>
      </c>
      <c r="B4959">
        <v>1.2759</v>
      </c>
    </row>
    <row r="4960" spans="1:2" x14ac:dyDescent="0.2">
      <c r="A4960" s="57">
        <v>38929</v>
      </c>
      <c r="B4960">
        <v>1.2766999999999999</v>
      </c>
    </row>
    <row r="4961" spans="1:2" x14ac:dyDescent="0.2">
      <c r="A4961" s="57">
        <v>38928</v>
      </c>
    </row>
    <row r="4962" spans="1:2" x14ac:dyDescent="0.2">
      <c r="A4962" s="57">
        <v>38927</v>
      </c>
    </row>
    <row r="4963" spans="1:2" x14ac:dyDescent="0.2">
      <c r="A4963" s="57">
        <v>38926</v>
      </c>
      <c r="B4963">
        <v>1.2664</v>
      </c>
    </row>
    <row r="4964" spans="1:2" x14ac:dyDescent="0.2">
      <c r="A4964" s="57">
        <v>38925</v>
      </c>
      <c r="B4964">
        <v>1.2737000000000001</v>
      </c>
    </row>
    <row r="4965" spans="1:2" x14ac:dyDescent="0.2">
      <c r="A4965" s="57">
        <v>38924</v>
      </c>
      <c r="B4965">
        <v>1.2586999999999999</v>
      </c>
    </row>
    <row r="4966" spans="1:2" x14ac:dyDescent="0.2">
      <c r="A4966" s="57">
        <v>38923</v>
      </c>
      <c r="B4966">
        <v>1.2636000000000001</v>
      </c>
    </row>
    <row r="4967" spans="1:2" x14ac:dyDescent="0.2">
      <c r="A4967" s="57">
        <v>38922</v>
      </c>
      <c r="B4967">
        <v>1.2633000000000001</v>
      </c>
    </row>
    <row r="4968" spans="1:2" x14ac:dyDescent="0.2">
      <c r="A4968" s="57">
        <v>38921</v>
      </c>
    </row>
    <row r="4969" spans="1:2" x14ac:dyDescent="0.2">
      <c r="A4969" s="57">
        <v>38920</v>
      </c>
    </row>
    <row r="4970" spans="1:2" x14ac:dyDescent="0.2">
      <c r="A4970" s="57">
        <v>38919</v>
      </c>
      <c r="B4970">
        <v>1.268</v>
      </c>
    </row>
    <row r="4971" spans="1:2" x14ac:dyDescent="0.2">
      <c r="A4971" s="57">
        <v>38918</v>
      </c>
      <c r="B4971">
        <v>1.2643</v>
      </c>
    </row>
    <row r="4972" spans="1:2" x14ac:dyDescent="0.2">
      <c r="A4972" s="57">
        <v>38917</v>
      </c>
      <c r="B4972">
        <v>1.2482</v>
      </c>
    </row>
    <row r="4973" spans="1:2" x14ac:dyDescent="0.2">
      <c r="A4973" s="57">
        <v>38916</v>
      </c>
      <c r="B4973">
        <v>1.2531000000000001</v>
      </c>
    </row>
    <row r="4974" spans="1:2" x14ac:dyDescent="0.2">
      <c r="A4974" s="57">
        <v>38915</v>
      </c>
      <c r="B4974">
        <v>1.2541</v>
      </c>
    </row>
    <row r="4975" spans="1:2" x14ac:dyDescent="0.2">
      <c r="A4975" s="57">
        <v>38914</v>
      </c>
    </row>
    <row r="4976" spans="1:2" x14ac:dyDescent="0.2">
      <c r="A4976" s="57">
        <v>38913</v>
      </c>
    </row>
    <row r="4977" spans="1:2" x14ac:dyDescent="0.2">
      <c r="A4977" s="57">
        <v>38912</v>
      </c>
      <c r="B4977">
        <v>1.2665999999999999</v>
      </c>
    </row>
    <row r="4978" spans="1:2" x14ac:dyDescent="0.2">
      <c r="A4978" s="57">
        <v>38911</v>
      </c>
      <c r="B4978">
        <v>1.2692000000000001</v>
      </c>
    </row>
    <row r="4979" spans="1:2" x14ac:dyDescent="0.2">
      <c r="A4979" s="57">
        <v>38910</v>
      </c>
      <c r="B4979">
        <v>1.2722</v>
      </c>
    </row>
    <row r="4980" spans="1:2" x14ac:dyDescent="0.2">
      <c r="A4980" s="57">
        <v>38909</v>
      </c>
      <c r="B4980">
        <v>1.2736000000000001</v>
      </c>
    </row>
    <row r="4981" spans="1:2" x14ac:dyDescent="0.2">
      <c r="A4981" s="57">
        <v>38908</v>
      </c>
      <c r="B4981">
        <v>1.2751999999999999</v>
      </c>
    </row>
    <row r="4982" spans="1:2" x14ac:dyDescent="0.2">
      <c r="A4982" s="57">
        <v>38907</v>
      </c>
    </row>
    <row r="4983" spans="1:2" x14ac:dyDescent="0.2">
      <c r="A4983" s="57">
        <v>38906</v>
      </c>
    </row>
    <row r="4984" spans="1:2" x14ac:dyDescent="0.2">
      <c r="A4984" s="57">
        <v>38905</v>
      </c>
      <c r="B4984">
        <v>1.2778</v>
      </c>
    </row>
    <row r="4985" spans="1:2" x14ac:dyDescent="0.2">
      <c r="A4985" s="57">
        <v>38904</v>
      </c>
      <c r="B4985">
        <v>1.2735000000000001</v>
      </c>
    </row>
    <row r="4986" spans="1:2" x14ac:dyDescent="0.2">
      <c r="A4986" s="57">
        <v>38903</v>
      </c>
      <c r="B4986">
        <v>1.2794000000000001</v>
      </c>
    </row>
    <row r="4987" spans="1:2" x14ac:dyDescent="0.2">
      <c r="A4987" s="57">
        <v>38902</v>
      </c>
      <c r="B4987">
        <v>1.2790999999999999</v>
      </c>
    </row>
    <row r="4988" spans="1:2" x14ac:dyDescent="0.2">
      <c r="A4988" s="57">
        <v>38901</v>
      </c>
      <c r="B4988">
        <v>1.2789999999999999</v>
      </c>
    </row>
    <row r="4989" spans="1:2" x14ac:dyDescent="0.2">
      <c r="A4989" s="57">
        <v>38900</v>
      </c>
    </row>
    <row r="4990" spans="1:2" x14ac:dyDescent="0.2">
      <c r="A4990" s="57">
        <v>38899</v>
      </c>
    </row>
    <row r="4991" spans="1:2" x14ac:dyDescent="0.2">
      <c r="A4991" s="57">
        <v>38898</v>
      </c>
      <c r="B4991">
        <v>1.2713000000000001</v>
      </c>
    </row>
    <row r="4992" spans="1:2" x14ac:dyDescent="0.2">
      <c r="A4992" s="57">
        <v>38897</v>
      </c>
      <c r="B4992">
        <v>1.2528999999999999</v>
      </c>
    </row>
    <row r="4993" spans="1:2" x14ac:dyDescent="0.2">
      <c r="A4993" s="57">
        <v>38896</v>
      </c>
      <c r="B4993">
        <v>1.2569999999999999</v>
      </c>
    </row>
    <row r="4994" spans="1:2" x14ac:dyDescent="0.2">
      <c r="A4994" s="57">
        <v>38895</v>
      </c>
      <c r="B4994">
        <v>1.2566999999999999</v>
      </c>
    </row>
    <row r="4995" spans="1:2" x14ac:dyDescent="0.2">
      <c r="A4995" s="57">
        <v>38894</v>
      </c>
      <c r="B4995">
        <v>1.2561</v>
      </c>
    </row>
    <row r="4996" spans="1:2" x14ac:dyDescent="0.2">
      <c r="A4996" s="57">
        <v>38893</v>
      </c>
    </row>
    <row r="4997" spans="1:2" x14ac:dyDescent="0.2">
      <c r="A4997" s="57">
        <v>38892</v>
      </c>
    </row>
    <row r="4998" spans="1:2" x14ac:dyDescent="0.2">
      <c r="A4998" s="57">
        <v>38891</v>
      </c>
      <c r="B4998">
        <v>1.2502</v>
      </c>
    </row>
    <row r="4999" spans="1:2" x14ac:dyDescent="0.2">
      <c r="A4999" s="57">
        <v>38890</v>
      </c>
      <c r="B4999">
        <v>1.2582</v>
      </c>
    </row>
    <row r="5000" spans="1:2" x14ac:dyDescent="0.2">
      <c r="A5000" s="57">
        <v>38889</v>
      </c>
      <c r="B5000">
        <v>1.2632000000000001</v>
      </c>
    </row>
    <row r="5001" spans="1:2" x14ac:dyDescent="0.2">
      <c r="A5001" s="57">
        <v>38888</v>
      </c>
      <c r="B5001">
        <v>1.2545999999999999</v>
      </c>
    </row>
    <row r="5002" spans="1:2" x14ac:dyDescent="0.2">
      <c r="A5002" s="57">
        <v>38887</v>
      </c>
      <c r="B5002">
        <v>1.2591000000000001</v>
      </c>
    </row>
    <row r="5003" spans="1:2" x14ac:dyDescent="0.2">
      <c r="A5003" s="57">
        <v>38886</v>
      </c>
    </row>
    <row r="5004" spans="1:2" x14ac:dyDescent="0.2">
      <c r="A5004" s="57">
        <v>38885</v>
      </c>
    </row>
    <row r="5005" spans="1:2" x14ac:dyDescent="0.2">
      <c r="A5005" s="57">
        <v>38884</v>
      </c>
      <c r="B5005">
        <v>1.2650999999999999</v>
      </c>
    </row>
    <row r="5006" spans="1:2" x14ac:dyDescent="0.2">
      <c r="A5006" s="57">
        <v>38883</v>
      </c>
      <c r="B5006">
        <v>1.2609999999999999</v>
      </c>
    </row>
    <row r="5007" spans="1:2" x14ac:dyDescent="0.2">
      <c r="A5007" s="57">
        <v>38882</v>
      </c>
      <c r="B5007">
        <v>1.2563</v>
      </c>
    </row>
    <row r="5008" spans="1:2" x14ac:dyDescent="0.2">
      <c r="A5008" s="57">
        <v>38881</v>
      </c>
      <c r="B5008">
        <v>1.2571000000000001</v>
      </c>
    </row>
    <row r="5009" spans="1:2" x14ac:dyDescent="0.2">
      <c r="A5009" s="57">
        <v>38880</v>
      </c>
      <c r="B5009">
        <v>1.2572000000000001</v>
      </c>
    </row>
    <row r="5010" spans="1:2" x14ac:dyDescent="0.2">
      <c r="A5010" s="57">
        <v>38879</v>
      </c>
    </row>
    <row r="5011" spans="1:2" x14ac:dyDescent="0.2">
      <c r="A5011" s="57">
        <v>38878</v>
      </c>
    </row>
    <row r="5012" spans="1:2" x14ac:dyDescent="0.2">
      <c r="A5012" s="57">
        <v>38877</v>
      </c>
      <c r="B5012">
        <v>1.2659</v>
      </c>
    </row>
    <row r="5013" spans="1:2" x14ac:dyDescent="0.2">
      <c r="A5013" s="57">
        <v>38876</v>
      </c>
      <c r="B5013">
        <v>1.2735000000000001</v>
      </c>
    </row>
    <row r="5014" spans="1:2" x14ac:dyDescent="0.2">
      <c r="A5014" s="57">
        <v>38875</v>
      </c>
      <c r="B5014">
        <v>1.2788999999999999</v>
      </c>
    </row>
    <row r="5015" spans="1:2" x14ac:dyDescent="0.2">
      <c r="A5015" s="57">
        <v>38874</v>
      </c>
      <c r="B5015">
        <v>1.2847</v>
      </c>
    </row>
    <row r="5016" spans="1:2" x14ac:dyDescent="0.2">
      <c r="A5016" s="57">
        <v>38873</v>
      </c>
      <c r="B5016">
        <v>1.2958000000000001</v>
      </c>
    </row>
    <row r="5017" spans="1:2" x14ac:dyDescent="0.2">
      <c r="A5017" s="57">
        <v>38872</v>
      </c>
    </row>
    <row r="5018" spans="1:2" x14ac:dyDescent="0.2">
      <c r="A5018" s="57">
        <v>38871</v>
      </c>
    </row>
    <row r="5019" spans="1:2" x14ac:dyDescent="0.2">
      <c r="A5019" s="57">
        <v>38870</v>
      </c>
      <c r="B5019">
        <v>1.2815000000000001</v>
      </c>
    </row>
    <row r="5020" spans="1:2" x14ac:dyDescent="0.2">
      <c r="A5020" s="57">
        <v>38869</v>
      </c>
      <c r="B5020">
        <v>1.2736000000000001</v>
      </c>
    </row>
    <row r="5021" spans="1:2" x14ac:dyDescent="0.2">
      <c r="A5021" s="57">
        <v>38868</v>
      </c>
      <c r="B5021">
        <v>1.2867999999999999</v>
      </c>
    </row>
    <row r="5022" spans="1:2" x14ac:dyDescent="0.2">
      <c r="A5022" s="57">
        <v>38867</v>
      </c>
      <c r="B5022">
        <v>1.2839</v>
      </c>
    </row>
    <row r="5023" spans="1:2" x14ac:dyDescent="0.2">
      <c r="A5023" s="57">
        <v>38866</v>
      </c>
      <c r="B5023">
        <v>1.2758</v>
      </c>
    </row>
    <row r="5024" spans="1:2" x14ac:dyDescent="0.2">
      <c r="A5024" s="57">
        <v>38865</v>
      </c>
    </row>
    <row r="5025" spans="1:2" x14ac:dyDescent="0.2">
      <c r="A5025" s="57">
        <v>38864</v>
      </c>
    </row>
    <row r="5026" spans="1:2" x14ac:dyDescent="0.2">
      <c r="A5026" s="57">
        <v>38863</v>
      </c>
      <c r="B5026">
        <v>1.2797000000000001</v>
      </c>
    </row>
    <row r="5027" spans="1:2" x14ac:dyDescent="0.2">
      <c r="A5027" s="57">
        <v>38862</v>
      </c>
      <c r="B5027">
        <v>1.2755000000000001</v>
      </c>
    </row>
    <row r="5028" spans="1:2" x14ac:dyDescent="0.2">
      <c r="A5028" s="57">
        <v>38861</v>
      </c>
      <c r="B5028">
        <v>1.2850999999999999</v>
      </c>
    </row>
    <row r="5029" spans="1:2" x14ac:dyDescent="0.2">
      <c r="A5029" s="57">
        <v>38860</v>
      </c>
      <c r="B5029">
        <v>1.2841</v>
      </c>
    </row>
    <row r="5030" spans="1:2" x14ac:dyDescent="0.2">
      <c r="A5030" s="57">
        <v>38859</v>
      </c>
      <c r="B5030">
        <v>1.2753000000000001</v>
      </c>
    </row>
    <row r="5031" spans="1:2" x14ac:dyDescent="0.2">
      <c r="A5031" s="57">
        <v>38858</v>
      </c>
    </row>
    <row r="5032" spans="1:2" x14ac:dyDescent="0.2">
      <c r="A5032" s="57">
        <v>38857</v>
      </c>
    </row>
    <row r="5033" spans="1:2" x14ac:dyDescent="0.2">
      <c r="A5033" s="57">
        <v>38856</v>
      </c>
      <c r="B5033">
        <v>1.2766999999999999</v>
      </c>
    </row>
    <row r="5034" spans="1:2" x14ac:dyDescent="0.2">
      <c r="A5034" s="57">
        <v>38855</v>
      </c>
      <c r="B5034">
        <v>1.2769999999999999</v>
      </c>
    </row>
    <row r="5035" spans="1:2" x14ac:dyDescent="0.2">
      <c r="A5035" s="57">
        <v>38854</v>
      </c>
      <c r="B5035">
        <v>1.2882</v>
      </c>
    </row>
    <row r="5036" spans="1:2" x14ac:dyDescent="0.2">
      <c r="A5036" s="57">
        <v>38853</v>
      </c>
      <c r="B5036">
        <v>1.2817000000000001</v>
      </c>
    </row>
    <row r="5037" spans="1:2" x14ac:dyDescent="0.2">
      <c r="A5037" s="57">
        <v>38852</v>
      </c>
      <c r="B5037">
        <v>1.2826</v>
      </c>
    </row>
    <row r="5038" spans="1:2" x14ac:dyDescent="0.2">
      <c r="A5038" s="57">
        <v>38851</v>
      </c>
    </row>
    <row r="5039" spans="1:2" x14ac:dyDescent="0.2">
      <c r="A5039" s="57">
        <v>38850</v>
      </c>
    </row>
    <row r="5040" spans="1:2" x14ac:dyDescent="0.2">
      <c r="A5040" s="57">
        <v>38849</v>
      </c>
      <c r="B5040">
        <v>1.2914000000000001</v>
      </c>
    </row>
    <row r="5041" spans="1:2" x14ac:dyDescent="0.2">
      <c r="A5041" s="57">
        <v>38848</v>
      </c>
      <c r="B5041">
        <v>1.2716000000000001</v>
      </c>
    </row>
    <row r="5042" spans="1:2" x14ac:dyDescent="0.2">
      <c r="A5042" s="57">
        <v>38847</v>
      </c>
      <c r="B5042">
        <v>1.2779</v>
      </c>
    </row>
    <row r="5043" spans="1:2" x14ac:dyDescent="0.2">
      <c r="A5043" s="57">
        <v>38846</v>
      </c>
      <c r="B5043">
        <v>1.2697000000000001</v>
      </c>
    </row>
    <row r="5044" spans="1:2" x14ac:dyDescent="0.2">
      <c r="A5044" s="57">
        <v>38845</v>
      </c>
      <c r="B5044">
        <v>1.2756000000000001</v>
      </c>
    </row>
    <row r="5045" spans="1:2" x14ac:dyDescent="0.2">
      <c r="A5045" s="57">
        <v>38844</v>
      </c>
    </row>
    <row r="5046" spans="1:2" x14ac:dyDescent="0.2">
      <c r="A5046" s="57">
        <v>38843</v>
      </c>
    </row>
    <row r="5047" spans="1:2" x14ac:dyDescent="0.2">
      <c r="A5047" s="57">
        <v>38842</v>
      </c>
      <c r="B5047">
        <v>1.2687999999999999</v>
      </c>
    </row>
    <row r="5048" spans="1:2" x14ac:dyDescent="0.2">
      <c r="A5048" s="57">
        <v>38841</v>
      </c>
      <c r="B5048">
        <v>1.2592000000000001</v>
      </c>
    </row>
    <row r="5049" spans="1:2" x14ac:dyDescent="0.2">
      <c r="A5049" s="57">
        <v>38840</v>
      </c>
      <c r="B5049">
        <v>1.2622</v>
      </c>
    </row>
    <row r="5050" spans="1:2" x14ac:dyDescent="0.2">
      <c r="A5050" s="57">
        <v>38839</v>
      </c>
      <c r="B5050">
        <v>1.2643</v>
      </c>
    </row>
    <row r="5051" spans="1:2" x14ac:dyDescent="0.2">
      <c r="A5051" s="57">
        <v>38838</v>
      </c>
    </row>
    <row r="5052" spans="1:2" x14ac:dyDescent="0.2">
      <c r="A5052" s="57">
        <v>38837</v>
      </c>
    </row>
    <row r="5053" spans="1:2" x14ac:dyDescent="0.2">
      <c r="A5053" s="57">
        <v>38836</v>
      </c>
    </row>
    <row r="5054" spans="1:2" x14ac:dyDescent="0.2">
      <c r="A5054" s="57">
        <v>38835</v>
      </c>
      <c r="B5054">
        <v>1.2537</v>
      </c>
    </row>
    <row r="5055" spans="1:2" x14ac:dyDescent="0.2">
      <c r="A5055" s="57">
        <v>38834</v>
      </c>
      <c r="B5055">
        <v>1.2414000000000001</v>
      </c>
    </row>
    <row r="5056" spans="1:2" x14ac:dyDescent="0.2">
      <c r="A5056" s="57">
        <v>38833</v>
      </c>
      <c r="B5056">
        <v>1.2424999999999999</v>
      </c>
    </row>
    <row r="5057" spans="1:2" x14ac:dyDescent="0.2">
      <c r="A5057" s="57">
        <v>38832</v>
      </c>
      <c r="B5057">
        <v>1.2424999999999999</v>
      </c>
    </row>
    <row r="5058" spans="1:2" x14ac:dyDescent="0.2">
      <c r="A5058" s="57">
        <v>38831</v>
      </c>
      <c r="B5058">
        <v>1.2364999999999999</v>
      </c>
    </row>
    <row r="5059" spans="1:2" x14ac:dyDescent="0.2">
      <c r="A5059" s="57">
        <v>38830</v>
      </c>
    </row>
    <row r="5060" spans="1:2" x14ac:dyDescent="0.2">
      <c r="A5060" s="57">
        <v>38829</v>
      </c>
    </row>
    <row r="5061" spans="1:2" x14ac:dyDescent="0.2">
      <c r="A5061" s="57">
        <v>38828</v>
      </c>
      <c r="B5061">
        <v>1.2315</v>
      </c>
    </row>
    <row r="5062" spans="1:2" x14ac:dyDescent="0.2">
      <c r="A5062" s="57">
        <v>38827</v>
      </c>
      <c r="B5062">
        <v>1.2345999999999999</v>
      </c>
    </row>
    <row r="5063" spans="1:2" x14ac:dyDescent="0.2">
      <c r="A5063" s="57">
        <v>38826</v>
      </c>
      <c r="B5063">
        <v>1.2345999999999999</v>
      </c>
    </row>
    <row r="5064" spans="1:2" x14ac:dyDescent="0.2">
      <c r="A5064" s="57">
        <v>38825</v>
      </c>
      <c r="B5064">
        <v>1.2252000000000001</v>
      </c>
    </row>
    <row r="5065" spans="1:2" x14ac:dyDescent="0.2">
      <c r="A5065" s="57">
        <v>38824</v>
      </c>
    </row>
    <row r="5066" spans="1:2" x14ac:dyDescent="0.2">
      <c r="A5066" s="57">
        <v>38823</v>
      </c>
    </row>
    <row r="5067" spans="1:2" x14ac:dyDescent="0.2">
      <c r="A5067" s="57">
        <v>38822</v>
      </c>
    </row>
    <row r="5068" spans="1:2" x14ac:dyDescent="0.2">
      <c r="A5068" s="57">
        <v>38821</v>
      </c>
    </row>
    <row r="5069" spans="1:2" x14ac:dyDescent="0.2">
      <c r="A5069" s="57">
        <v>38820</v>
      </c>
      <c r="B5069">
        <v>1.2094</v>
      </c>
    </row>
    <row r="5070" spans="1:2" x14ac:dyDescent="0.2">
      <c r="A5070" s="57">
        <v>38819</v>
      </c>
      <c r="B5070">
        <v>1.2124999999999999</v>
      </c>
    </row>
    <row r="5071" spans="1:2" x14ac:dyDescent="0.2">
      <c r="A5071" s="57">
        <v>38818</v>
      </c>
      <c r="B5071">
        <v>1.2104999999999999</v>
      </c>
    </row>
    <row r="5072" spans="1:2" x14ac:dyDescent="0.2">
      <c r="A5072" s="57">
        <v>38817</v>
      </c>
      <c r="B5072">
        <v>1.2099</v>
      </c>
    </row>
    <row r="5073" spans="1:2" x14ac:dyDescent="0.2">
      <c r="A5073" s="57">
        <v>38816</v>
      </c>
    </row>
    <row r="5074" spans="1:2" x14ac:dyDescent="0.2">
      <c r="A5074" s="57">
        <v>38815</v>
      </c>
    </row>
    <row r="5075" spans="1:2" x14ac:dyDescent="0.2">
      <c r="A5075" s="57">
        <v>38814</v>
      </c>
      <c r="B5075">
        <v>1.2179</v>
      </c>
    </row>
    <row r="5076" spans="1:2" x14ac:dyDescent="0.2">
      <c r="A5076" s="57">
        <v>38813</v>
      </c>
      <c r="B5076">
        <v>1.2312000000000001</v>
      </c>
    </row>
    <row r="5077" spans="1:2" x14ac:dyDescent="0.2">
      <c r="A5077" s="57">
        <v>38812</v>
      </c>
      <c r="B5077">
        <v>1.2262</v>
      </c>
    </row>
    <row r="5078" spans="1:2" x14ac:dyDescent="0.2">
      <c r="A5078" s="57">
        <v>38811</v>
      </c>
      <c r="B5078">
        <v>1.2217</v>
      </c>
    </row>
    <row r="5079" spans="1:2" x14ac:dyDescent="0.2">
      <c r="A5079" s="57">
        <v>38810</v>
      </c>
      <c r="B5079">
        <v>1.2062999999999999</v>
      </c>
    </row>
    <row r="5080" spans="1:2" x14ac:dyDescent="0.2">
      <c r="A5080" s="57">
        <v>38809</v>
      </c>
    </row>
    <row r="5081" spans="1:2" x14ac:dyDescent="0.2">
      <c r="A5081" s="57">
        <v>38808</v>
      </c>
    </row>
    <row r="5082" spans="1:2" x14ac:dyDescent="0.2">
      <c r="A5082" s="57">
        <v>38807</v>
      </c>
      <c r="B5082">
        <v>1.2103999999999999</v>
      </c>
    </row>
    <row r="5083" spans="1:2" x14ac:dyDescent="0.2">
      <c r="A5083" s="57">
        <v>38806</v>
      </c>
      <c r="B5083">
        <v>1.2096</v>
      </c>
    </row>
    <row r="5084" spans="1:2" x14ac:dyDescent="0.2">
      <c r="A5084" s="57">
        <v>38805</v>
      </c>
      <c r="B5084">
        <v>1.2012</v>
      </c>
    </row>
    <row r="5085" spans="1:2" x14ac:dyDescent="0.2">
      <c r="A5085" s="57">
        <v>38804</v>
      </c>
      <c r="B5085">
        <v>1.2083999999999999</v>
      </c>
    </row>
    <row r="5086" spans="1:2" x14ac:dyDescent="0.2">
      <c r="A5086" s="57">
        <v>38803</v>
      </c>
      <c r="B5086">
        <v>1.2024999999999999</v>
      </c>
    </row>
    <row r="5087" spans="1:2" x14ac:dyDescent="0.2">
      <c r="A5087" s="57">
        <v>38802</v>
      </c>
    </row>
    <row r="5088" spans="1:2" x14ac:dyDescent="0.2">
      <c r="A5088" s="57">
        <v>38801</v>
      </c>
    </row>
    <row r="5089" spans="1:2" x14ac:dyDescent="0.2">
      <c r="A5089" s="57">
        <v>38800</v>
      </c>
      <c r="B5089">
        <v>1.1969000000000001</v>
      </c>
    </row>
    <row r="5090" spans="1:2" x14ac:dyDescent="0.2">
      <c r="A5090" s="57">
        <v>38799</v>
      </c>
      <c r="B5090">
        <v>1.2055</v>
      </c>
    </row>
    <row r="5091" spans="1:2" x14ac:dyDescent="0.2">
      <c r="A5091" s="57">
        <v>38798</v>
      </c>
      <c r="B5091">
        <v>1.2069000000000001</v>
      </c>
    </row>
    <row r="5092" spans="1:2" x14ac:dyDescent="0.2">
      <c r="A5092" s="57">
        <v>38797</v>
      </c>
      <c r="B5092">
        <v>1.2143999999999999</v>
      </c>
    </row>
    <row r="5093" spans="1:2" x14ac:dyDescent="0.2">
      <c r="A5093" s="57">
        <v>38796</v>
      </c>
      <c r="B5093">
        <v>1.2174</v>
      </c>
    </row>
    <row r="5094" spans="1:2" x14ac:dyDescent="0.2">
      <c r="A5094" s="57">
        <v>38795</v>
      </c>
    </row>
    <row r="5095" spans="1:2" x14ac:dyDescent="0.2">
      <c r="A5095" s="57">
        <v>38794</v>
      </c>
    </row>
    <row r="5096" spans="1:2" x14ac:dyDescent="0.2">
      <c r="A5096" s="57">
        <v>38793</v>
      </c>
      <c r="B5096">
        <v>1.2184999999999999</v>
      </c>
    </row>
    <row r="5097" spans="1:2" x14ac:dyDescent="0.2">
      <c r="A5097" s="57">
        <v>38792</v>
      </c>
      <c r="B5097">
        <v>1.2069000000000001</v>
      </c>
    </row>
    <row r="5098" spans="1:2" x14ac:dyDescent="0.2">
      <c r="A5098" s="57">
        <v>38791</v>
      </c>
      <c r="B5098">
        <v>1.2025999999999999</v>
      </c>
    </row>
    <row r="5099" spans="1:2" x14ac:dyDescent="0.2">
      <c r="A5099" s="57">
        <v>38790</v>
      </c>
      <c r="B5099">
        <v>1.1948000000000001</v>
      </c>
    </row>
    <row r="5100" spans="1:2" x14ac:dyDescent="0.2">
      <c r="A5100" s="57">
        <v>38789</v>
      </c>
      <c r="B5100">
        <v>1.1921999999999999</v>
      </c>
    </row>
    <row r="5101" spans="1:2" x14ac:dyDescent="0.2">
      <c r="A5101" s="57">
        <v>38788</v>
      </c>
    </row>
    <row r="5102" spans="1:2" x14ac:dyDescent="0.2">
      <c r="A5102" s="57">
        <v>38787</v>
      </c>
    </row>
    <row r="5103" spans="1:2" x14ac:dyDescent="0.2">
      <c r="A5103" s="57">
        <v>38786</v>
      </c>
      <c r="B5103">
        <v>1.1919</v>
      </c>
    </row>
    <row r="5104" spans="1:2" x14ac:dyDescent="0.2">
      <c r="A5104" s="57">
        <v>38785</v>
      </c>
      <c r="B5104">
        <v>1.1919999999999999</v>
      </c>
    </row>
    <row r="5105" spans="1:2" x14ac:dyDescent="0.2">
      <c r="A5105" s="57">
        <v>38784</v>
      </c>
      <c r="B5105">
        <v>1.1914</v>
      </c>
    </row>
    <row r="5106" spans="1:2" x14ac:dyDescent="0.2">
      <c r="A5106" s="57">
        <v>38783</v>
      </c>
      <c r="B5106">
        <v>1.1913</v>
      </c>
    </row>
    <row r="5107" spans="1:2" x14ac:dyDescent="0.2">
      <c r="A5107" s="57">
        <v>38782</v>
      </c>
      <c r="B5107">
        <v>1.2017</v>
      </c>
    </row>
    <row r="5108" spans="1:2" x14ac:dyDescent="0.2">
      <c r="A5108" s="57">
        <v>38781</v>
      </c>
    </row>
    <row r="5109" spans="1:2" x14ac:dyDescent="0.2">
      <c r="A5109" s="57">
        <v>38780</v>
      </c>
    </row>
    <row r="5110" spans="1:2" x14ac:dyDescent="0.2">
      <c r="A5110" s="57">
        <v>38779</v>
      </c>
      <c r="B5110">
        <v>1.202</v>
      </c>
    </row>
    <row r="5111" spans="1:2" x14ac:dyDescent="0.2">
      <c r="A5111" s="57">
        <v>38778</v>
      </c>
      <c r="B5111">
        <v>1.1920999999999999</v>
      </c>
    </row>
    <row r="5112" spans="1:2" x14ac:dyDescent="0.2">
      <c r="A5112" s="57">
        <v>38777</v>
      </c>
      <c r="B5112">
        <v>1.1954</v>
      </c>
    </row>
    <row r="5113" spans="1:2" x14ac:dyDescent="0.2">
      <c r="A5113" s="57">
        <v>38776</v>
      </c>
      <c r="B5113">
        <v>1.1875</v>
      </c>
    </row>
    <row r="5114" spans="1:2" x14ac:dyDescent="0.2">
      <c r="A5114" s="57">
        <v>38775</v>
      </c>
      <c r="B5114">
        <v>1.1852</v>
      </c>
    </row>
    <row r="5115" spans="1:2" x14ac:dyDescent="0.2">
      <c r="A5115" s="57">
        <v>38774</v>
      </c>
    </row>
    <row r="5116" spans="1:2" x14ac:dyDescent="0.2">
      <c r="A5116" s="57">
        <v>38773</v>
      </c>
    </row>
    <row r="5117" spans="1:2" x14ac:dyDescent="0.2">
      <c r="A5117" s="57">
        <v>38772</v>
      </c>
      <c r="B5117">
        <v>1.1896</v>
      </c>
    </row>
    <row r="5118" spans="1:2" x14ac:dyDescent="0.2">
      <c r="A5118" s="57">
        <v>38771</v>
      </c>
      <c r="B5118">
        <v>1.1957</v>
      </c>
    </row>
    <row r="5119" spans="1:2" x14ac:dyDescent="0.2">
      <c r="A5119" s="57">
        <v>38770</v>
      </c>
      <c r="B5119">
        <v>1.1875</v>
      </c>
    </row>
    <row r="5120" spans="1:2" x14ac:dyDescent="0.2">
      <c r="A5120" s="57">
        <v>38769</v>
      </c>
      <c r="B5120">
        <v>1.1906000000000001</v>
      </c>
    </row>
    <row r="5121" spans="1:2" x14ac:dyDescent="0.2">
      <c r="A5121" s="57">
        <v>38768</v>
      </c>
      <c r="B5121">
        <v>1.1932</v>
      </c>
    </row>
    <row r="5122" spans="1:2" x14ac:dyDescent="0.2">
      <c r="A5122" s="57">
        <v>38767</v>
      </c>
    </row>
    <row r="5123" spans="1:2" x14ac:dyDescent="0.2">
      <c r="A5123" s="57">
        <v>38766</v>
      </c>
    </row>
    <row r="5124" spans="1:2" x14ac:dyDescent="0.2">
      <c r="A5124" s="57">
        <v>38765</v>
      </c>
      <c r="B5124">
        <v>1.1862999999999999</v>
      </c>
    </row>
    <row r="5125" spans="1:2" x14ac:dyDescent="0.2">
      <c r="A5125" s="57">
        <v>38764</v>
      </c>
      <c r="B5125">
        <v>1.1858</v>
      </c>
    </row>
    <row r="5126" spans="1:2" x14ac:dyDescent="0.2">
      <c r="A5126" s="57">
        <v>38763</v>
      </c>
      <c r="B5126">
        <v>1.1903999999999999</v>
      </c>
    </row>
    <row r="5127" spans="1:2" x14ac:dyDescent="0.2">
      <c r="A5127" s="57">
        <v>38762</v>
      </c>
      <c r="B5127">
        <v>1.1898</v>
      </c>
    </row>
    <row r="5128" spans="1:2" x14ac:dyDescent="0.2">
      <c r="A5128" s="57">
        <v>38761</v>
      </c>
      <c r="B5128">
        <v>1.1888000000000001</v>
      </c>
    </row>
    <row r="5129" spans="1:2" x14ac:dyDescent="0.2">
      <c r="A5129" s="57">
        <v>38760</v>
      </c>
    </row>
    <row r="5130" spans="1:2" x14ac:dyDescent="0.2">
      <c r="A5130" s="57">
        <v>38759</v>
      </c>
    </row>
    <row r="5131" spans="1:2" x14ac:dyDescent="0.2">
      <c r="A5131" s="57">
        <v>38758</v>
      </c>
      <c r="B5131">
        <v>1.1970000000000001</v>
      </c>
    </row>
    <row r="5132" spans="1:2" x14ac:dyDescent="0.2">
      <c r="A5132" s="57">
        <v>38757</v>
      </c>
      <c r="B5132">
        <v>1.1972</v>
      </c>
    </row>
    <row r="5133" spans="1:2" x14ac:dyDescent="0.2">
      <c r="A5133" s="57">
        <v>38756</v>
      </c>
      <c r="B5133">
        <v>1.1948000000000001</v>
      </c>
    </row>
    <row r="5134" spans="1:2" x14ac:dyDescent="0.2">
      <c r="A5134" s="57">
        <v>38755</v>
      </c>
      <c r="B5134">
        <v>1.1973</v>
      </c>
    </row>
    <row r="5135" spans="1:2" x14ac:dyDescent="0.2">
      <c r="A5135" s="57">
        <v>38754</v>
      </c>
      <c r="B5135">
        <v>1.1980999999999999</v>
      </c>
    </row>
    <row r="5136" spans="1:2" x14ac:dyDescent="0.2">
      <c r="A5136" s="57">
        <v>38753</v>
      </c>
    </row>
    <row r="5137" spans="1:2" x14ac:dyDescent="0.2">
      <c r="A5137" s="57">
        <v>38752</v>
      </c>
    </row>
    <row r="5138" spans="1:2" x14ac:dyDescent="0.2">
      <c r="A5138" s="57">
        <v>38751</v>
      </c>
      <c r="B5138">
        <v>1.2060999999999999</v>
      </c>
    </row>
    <row r="5139" spans="1:2" x14ac:dyDescent="0.2">
      <c r="A5139" s="57">
        <v>38750</v>
      </c>
      <c r="B5139">
        <v>1.2065999999999999</v>
      </c>
    </row>
    <row r="5140" spans="1:2" x14ac:dyDescent="0.2">
      <c r="A5140" s="57">
        <v>38749</v>
      </c>
      <c r="B5140">
        <v>1.2092000000000001</v>
      </c>
    </row>
    <row r="5141" spans="1:2" x14ac:dyDescent="0.2">
      <c r="A5141" s="57">
        <v>38748</v>
      </c>
      <c r="B5141">
        <v>1.2118</v>
      </c>
    </row>
    <row r="5142" spans="1:2" x14ac:dyDescent="0.2">
      <c r="A5142" s="57">
        <v>38747</v>
      </c>
      <c r="B5142">
        <v>1.2081999999999999</v>
      </c>
    </row>
    <row r="5143" spans="1:2" x14ac:dyDescent="0.2">
      <c r="A5143" s="57">
        <v>38746</v>
      </c>
    </row>
    <row r="5144" spans="1:2" x14ac:dyDescent="0.2">
      <c r="A5144" s="57">
        <v>38745</v>
      </c>
    </row>
    <row r="5145" spans="1:2" x14ac:dyDescent="0.2">
      <c r="A5145" s="57">
        <v>38744</v>
      </c>
      <c r="B5145">
        <v>1.2172000000000001</v>
      </c>
    </row>
    <row r="5146" spans="1:2" x14ac:dyDescent="0.2">
      <c r="A5146" s="57">
        <v>38743</v>
      </c>
      <c r="B5146">
        <v>1.2254</v>
      </c>
    </row>
    <row r="5147" spans="1:2" x14ac:dyDescent="0.2">
      <c r="A5147" s="57">
        <v>38742</v>
      </c>
      <c r="B5147">
        <v>1.2294</v>
      </c>
    </row>
    <row r="5148" spans="1:2" x14ac:dyDescent="0.2">
      <c r="A5148" s="57">
        <v>38741</v>
      </c>
      <c r="B5148">
        <v>1.2272000000000001</v>
      </c>
    </row>
    <row r="5149" spans="1:2" x14ac:dyDescent="0.2">
      <c r="A5149" s="57">
        <v>38740</v>
      </c>
      <c r="B5149">
        <v>1.2277</v>
      </c>
    </row>
    <row r="5150" spans="1:2" x14ac:dyDescent="0.2">
      <c r="A5150" s="57">
        <v>38739</v>
      </c>
    </row>
    <row r="5151" spans="1:2" x14ac:dyDescent="0.2">
      <c r="A5151" s="57">
        <v>38738</v>
      </c>
    </row>
    <row r="5152" spans="1:2" x14ac:dyDescent="0.2">
      <c r="A5152" s="57">
        <v>38737</v>
      </c>
      <c r="B5152">
        <v>1.2068000000000001</v>
      </c>
    </row>
    <row r="5153" spans="1:2" x14ac:dyDescent="0.2">
      <c r="A5153" s="57">
        <v>38736</v>
      </c>
      <c r="B5153">
        <v>1.2073</v>
      </c>
    </row>
    <row r="5154" spans="1:2" x14ac:dyDescent="0.2">
      <c r="A5154" s="57">
        <v>38735</v>
      </c>
      <c r="B5154">
        <v>1.2124999999999999</v>
      </c>
    </row>
    <row r="5155" spans="1:2" x14ac:dyDescent="0.2">
      <c r="A5155" s="57">
        <v>38734</v>
      </c>
      <c r="B5155">
        <v>1.2075</v>
      </c>
    </row>
    <row r="5156" spans="1:2" x14ac:dyDescent="0.2">
      <c r="A5156" s="57">
        <v>38733</v>
      </c>
      <c r="B5156">
        <v>1.2112000000000001</v>
      </c>
    </row>
    <row r="5157" spans="1:2" x14ac:dyDescent="0.2">
      <c r="A5157" s="57">
        <v>38732</v>
      </c>
    </row>
    <row r="5158" spans="1:2" x14ac:dyDescent="0.2">
      <c r="A5158" s="57">
        <v>38731</v>
      </c>
    </row>
    <row r="5159" spans="1:2" x14ac:dyDescent="0.2">
      <c r="A5159" s="57">
        <v>38730</v>
      </c>
      <c r="B5159">
        <v>1.2039</v>
      </c>
    </row>
    <row r="5160" spans="1:2" x14ac:dyDescent="0.2">
      <c r="A5160" s="57">
        <v>38729</v>
      </c>
      <c r="B5160">
        <v>1.2113</v>
      </c>
    </row>
    <row r="5161" spans="1:2" x14ac:dyDescent="0.2">
      <c r="A5161" s="57">
        <v>38728</v>
      </c>
      <c r="B5161">
        <v>1.2088000000000001</v>
      </c>
    </row>
    <row r="5162" spans="1:2" x14ac:dyDescent="0.2">
      <c r="A5162" s="57">
        <v>38727</v>
      </c>
      <c r="B5162">
        <v>1.2063999999999999</v>
      </c>
    </row>
    <row r="5163" spans="1:2" x14ac:dyDescent="0.2">
      <c r="A5163" s="57">
        <v>38726</v>
      </c>
      <c r="B5163">
        <v>1.2078</v>
      </c>
    </row>
    <row r="5164" spans="1:2" x14ac:dyDescent="0.2">
      <c r="A5164" s="57">
        <v>38725</v>
      </c>
    </row>
    <row r="5165" spans="1:2" x14ac:dyDescent="0.2">
      <c r="A5165" s="57">
        <v>38724</v>
      </c>
    </row>
    <row r="5166" spans="1:2" x14ac:dyDescent="0.2">
      <c r="A5166" s="57">
        <v>38723</v>
      </c>
      <c r="B5166">
        <v>1.2093</v>
      </c>
    </row>
    <row r="5167" spans="1:2" x14ac:dyDescent="0.2">
      <c r="A5167" s="57">
        <v>38722</v>
      </c>
      <c r="B5167">
        <v>1.2088000000000001</v>
      </c>
    </row>
    <row r="5168" spans="1:2" x14ac:dyDescent="0.2">
      <c r="A5168" s="57">
        <v>38721</v>
      </c>
      <c r="B5168">
        <v>1.2082999999999999</v>
      </c>
    </row>
    <row r="5169" spans="1:2" x14ac:dyDescent="0.2">
      <c r="A5169" s="57">
        <v>38720</v>
      </c>
      <c r="B5169">
        <v>1.1875</v>
      </c>
    </row>
    <row r="5170" spans="1:2" x14ac:dyDescent="0.2">
      <c r="A5170" s="57">
        <v>38719</v>
      </c>
      <c r="B5170">
        <v>1.1826000000000001</v>
      </c>
    </row>
    <row r="5171" spans="1:2" x14ac:dyDescent="0.2">
      <c r="A5171" s="57">
        <v>38718</v>
      </c>
    </row>
    <row r="5172" spans="1:2" x14ac:dyDescent="0.2">
      <c r="A5172" s="57">
        <v>38717</v>
      </c>
    </row>
    <row r="5173" spans="1:2" x14ac:dyDescent="0.2">
      <c r="A5173" s="57">
        <v>38716</v>
      </c>
      <c r="B5173">
        <v>1.1797</v>
      </c>
    </row>
    <row r="5174" spans="1:2" x14ac:dyDescent="0.2">
      <c r="A5174" s="57">
        <v>38715</v>
      </c>
      <c r="B5174">
        <v>1.1825000000000001</v>
      </c>
    </row>
    <row r="5175" spans="1:2" x14ac:dyDescent="0.2">
      <c r="A5175" s="57">
        <v>38714</v>
      </c>
      <c r="B5175">
        <v>1.1916</v>
      </c>
    </row>
    <row r="5176" spans="1:2" x14ac:dyDescent="0.2">
      <c r="A5176" s="57">
        <v>38713</v>
      </c>
      <c r="B5176">
        <v>1.1852</v>
      </c>
    </row>
    <row r="5177" spans="1:2" x14ac:dyDescent="0.2">
      <c r="A5177" s="57">
        <v>38712</v>
      </c>
    </row>
    <row r="5178" spans="1:2" x14ac:dyDescent="0.2">
      <c r="A5178" s="57">
        <v>38711</v>
      </c>
    </row>
    <row r="5179" spans="1:2" x14ac:dyDescent="0.2">
      <c r="A5179" s="57">
        <v>38710</v>
      </c>
    </row>
    <row r="5180" spans="1:2" x14ac:dyDescent="0.2">
      <c r="A5180" s="57">
        <v>38709</v>
      </c>
      <c r="B5180">
        <v>1.1859</v>
      </c>
    </row>
    <row r="5181" spans="1:2" x14ac:dyDescent="0.2">
      <c r="A5181" s="57">
        <v>38708</v>
      </c>
      <c r="B5181">
        <v>1.1821999999999999</v>
      </c>
    </row>
    <row r="5182" spans="1:2" x14ac:dyDescent="0.2">
      <c r="A5182" s="57">
        <v>38707</v>
      </c>
      <c r="B5182">
        <v>1.1872</v>
      </c>
    </row>
    <row r="5183" spans="1:2" x14ac:dyDescent="0.2">
      <c r="A5183" s="57">
        <v>38706</v>
      </c>
      <c r="B5183">
        <v>1.1955</v>
      </c>
    </row>
    <row r="5184" spans="1:2" x14ac:dyDescent="0.2">
      <c r="A5184" s="57">
        <v>38705</v>
      </c>
      <c r="B5184">
        <v>1.1977</v>
      </c>
    </row>
    <row r="5185" spans="1:2" x14ac:dyDescent="0.2">
      <c r="A5185" s="57">
        <v>38704</v>
      </c>
    </row>
    <row r="5186" spans="1:2" x14ac:dyDescent="0.2">
      <c r="A5186" s="57">
        <v>38703</v>
      </c>
    </row>
    <row r="5187" spans="1:2" x14ac:dyDescent="0.2">
      <c r="A5187" s="57">
        <v>38702</v>
      </c>
      <c r="B5187">
        <v>1.1982999999999999</v>
      </c>
    </row>
    <row r="5188" spans="1:2" x14ac:dyDescent="0.2">
      <c r="A5188" s="57">
        <v>38701</v>
      </c>
      <c r="B5188">
        <v>1.1999</v>
      </c>
    </row>
    <row r="5189" spans="1:2" x14ac:dyDescent="0.2">
      <c r="A5189" s="57">
        <v>38700</v>
      </c>
      <c r="B5189">
        <v>1.202</v>
      </c>
    </row>
    <row r="5190" spans="1:2" x14ac:dyDescent="0.2">
      <c r="A5190" s="57">
        <v>38699</v>
      </c>
      <c r="B5190">
        <v>1.1924999999999999</v>
      </c>
    </row>
    <row r="5191" spans="1:2" x14ac:dyDescent="0.2">
      <c r="A5191" s="57">
        <v>38698</v>
      </c>
      <c r="B5191">
        <v>1.1924999999999999</v>
      </c>
    </row>
    <row r="5192" spans="1:2" x14ac:dyDescent="0.2">
      <c r="A5192" s="57">
        <v>38697</v>
      </c>
    </row>
    <row r="5193" spans="1:2" x14ac:dyDescent="0.2">
      <c r="A5193" s="57">
        <v>38696</v>
      </c>
    </row>
    <row r="5194" spans="1:2" x14ac:dyDescent="0.2">
      <c r="A5194" s="57">
        <v>38695</v>
      </c>
      <c r="B5194">
        <v>1.1785000000000001</v>
      </c>
    </row>
    <row r="5195" spans="1:2" x14ac:dyDescent="0.2">
      <c r="A5195" s="57">
        <v>38694</v>
      </c>
      <c r="B5195">
        <v>1.1763999999999999</v>
      </c>
    </row>
    <row r="5196" spans="1:2" x14ac:dyDescent="0.2">
      <c r="A5196" s="57">
        <v>38693</v>
      </c>
      <c r="B5196">
        <v>1.171</v>
      </c>
    </row>
    <row r="5197" spans="1:2" x14ac:dyDescent="0.2">
      <c r="A5197" s="57">
        <v>38692</v>
      </c>
      <c r="B5197">
        <v>1.1782999999999999</v>
      </c>
    </row>
    <row r="5198" spans="1:2" x14ac:dyDescent="0.2">
      <c r="A5198" s="57">
        <v>38691</v>
      </c>
      <c r="B5198">
        <v>1.1767000000000001</v>
      </c>
    </row>
    <row r="5199" spans="1:2" x14ac:dyDescent="0.2">
      <c r="A5199" s="57">
        <v>38690</v>
      </c>
    </row>
    <row r="5200" spans="1:2" x14ac:dyDescent="0.2">
      <c r="A5200" s="57">
        <v>38689</v>
      </c>
    </row>
    <row r="5201" spans="1:2" x14ac:dyDescent="0.2">
      <c r="A5201" s="57">
        <v>38688</v>
      </c>
      <c r="B5201">
        <v>1.1697</v>
      </c>
    </row>
    <row r="5202" spans="1:2" x14ac:dyDescent="0.2">
      <c r="A5202" s="57">
        <v>38687</v>
      </c>
      <c r="B5202">
        <v>1.1745000000000001</v>
      </c>
    </row>
    <row r="5203" spans="1:2" x14ac:dyDescent="0.2">
      <c r="A5203" s="57">
        <v>38686</v>
      </c>
      <c r="B5203">
        <v>1.1769000000000001</v>
      </c>
    </row>
    <row r="5204" spans="1:2" x14ac:dyDescent="0.2">
      <c r="A5204" s="57">
        <v>38685</v>
      </c>
      <c r="B5204">
        <v>1.1793</v>
      </c>
    </row>
    <row r="5205" spans="1:2" x14ac:dyDescent="0.2">
      <c r="A5205" s="57">
        <v>38684</v>
      </c>
      <c r="B5205">
        <v>1.1726000000000001</v>
      </c>
    </row>
    <row r="5206" spans="1:2" x14ac:dyDescent="0.2">
      <c r="A5206" s="57">
        <v>38683</v>
      </c>
    </row>
    <row r="5207" spans="1:2" x14ac:dyDescent="0.2">
      <c r="A5207" s="57">
        <v>38682</v>
      </c>
    </row>
    <row r="5208" spans="1:2" x14ac:dyDescent="0.2">
      <c r="A5208" s="57">
        <v>38681</v>
      </c>
      <c r="B5208">
        <v>1.1762999999999999</v>
      </c>
    </row>
    <row r="5209" spans="1:2" x14ac:dyDescent="0.2">
      <c r="A5209" s="57">
        <v>38680</v>
      </c>
      <c r="B5209">
        <v>1.1782999999999999</v>
      </c>
    </row>
    <row r="5210" spans="1:2" x14ac:dyDescent="0.2">
      <c r="A5210" s="57">
        <v>38679</v>
      </c>
      <c r="B5210">
        <v>1.1776</v>
      </c>
    </row>
    <row r="5211" spans="1:2" x14ac:dyDescent="0.2">
      <c r="A5211" s="57">
        <v>38678</v>
      </c>
      <c r="B5211">
        <v>1.1700999999999999</v>
      </c>
    </row>
    <row r="5212" spans="1:2" x14ac:dyDescent="0.2">
      <c r="A5212" s="57">
        <v>38677</v>
      </c>
      <c r="B5212">
        <v>1.1811</v>
      </c>
    </row>
    <row r="5213" spans="1:2" x14ac:dyDescent="0.2">
      <c r="A5213" s="57">
        <v>38676</v>
      </c>
    </row>
    <row r="5214" spans="1:2" x14ac:dyDescent="0.2">
      <c r="A5214" s="57">
        <v>38675</v>
      </c>
    </row>
    <row r="5215" spans="1:2" x14ac:dyDescent="0.2">
      <c r="A5215" s="57">
        <v>38674</v>
      </c>
      <c r="B5215">
        <v>1.1678999999999999</v>
      </c>
    </row>
    <row r="5216" spans="1:2" x14ac:dyDescent="0.2">
      <c r="A5216" s="57">
        <v>38673</v>
      </c>
      <c r="B5216">
        <v>1.1692</v>
      </c>
    </row>
    <row r="5217" spans="1:2" x14ac:dyDescent="0.2">
      <c r="A5217" s="57">
        <v>38672</v>
      </c>
      <c r="B5217">
        <v>1.1677</v>
      </c>
    </row>
    <row r="5218" spans="1:2" x14ac:dyDescent="0.2">
      <c r="A5218" s="57">
        <v>38671</v>
      </c>
      <c r="B5218">
        <v>1.1667000000000001</v>
      </c>
    </row>
    <row r="5219" spans="1:2" x14ac:dyDescent="0.2">
      <c r="A5219" s="57">
        <v>38670</v>
      </c>
      <c r="B5219">
        <v>1.1713</v>
      </c>
    </row>
    <row r="5220" spans="1:2" x14ac:dyDescent="0.2">
      <c r="A5220" s="57">
        <v>38669</v>
      </c>
    </row>
    <row r="5221" spans="1:2" x14ac:dyDescent="0.2">
      <c r="A5221" s="57">
        <v>38668</v>
      </c>
    </row>
    <row r="5222" spans="1:2" x14ac:dyDescent="0.2">
      <c r="A5222" s="57">
        <v>38667</v>
      </c>
      <c r="B5222">
        <v>1.1697</v>
      </c>
    </row>
    <row r="5223" spans="1:2" x14ac:dyDescent="0.2">
      <c r="A5223" s="57">
        <v>38666</v>
      </c>
      <c r="B5223">
        <v>1.1761999999999999</v>
      </c>
    </row>
    <row r="5224" spans="1:2" x14ac:dyDescent="0.2">
      <c r="A5224" s="57">
        <v>38665</v>
      </c>
      <c r="B5224">
        <v>1.1738</v>
      </c>
    </row>
    <row r="5225" spans="1:2" x14ac:dyDescent="0.2">
      <c r="A5225" s="57">
        <v>38664</v>
      </c>
      <c r="B5225">
        <v>1.1740999999999999</v>
      </c>
    </row>
    <row r="5226" spans="1:2" x14ac:dyDescent="0.2">
      <c r="A5226" s="57">
        <v>38663</v>
      </c>
      <c r="B5226">
        <v>1.1823999999999999</v>
      </c>
    </row>
    <row r="5227" spans="1:2" x14ac:dyDescent="0.2">
      <c r="A5227" s="57">
        <v>38662</v>
      </c>
    </row>
    <row r="5228" spans="1:2" x14ac:dyDescent="0.2">
      <c r="A5228" s="57">
        <v>38661</v>
      </c>
    </row>
    <row r="5229" spans="1:2" x14ac:dyDescent="0.2">
      <c r="A5229" s="57">
        <v>38660</v>
      </c>
      <c r="B5229">
        <v>1.1933</v>
      </c>
    </row>
    <row r="5230" spans="1:2" x14ac:dyDescent="0.2">
      <c r="A5230" s="57">
        <v>38659</v>
      </c>
      <c r="B5230">
        <v>1.2040999999999999</v>
      </c>
    </row>
    <row r="5231" spans="1:2" x14ac:dyDescent="0.2">
      <c r="A5231" s="57">
        <v>38658</v>
      </c>
      <c r="B5231">
        <v>1.1992</v>
      </c>
    </row>
    <row r="5232" spans="1:2" x14ac:dyDescent="0.2">
      <c r="A5232" s="57">
        <v>38657</v>
      </c>
      <c r="B5232">
        <v>1.2008000000000001</v>
      </c>
    </row>
    <row r="5233" spans="1:2" x14ac:dyDescent="0.2">
      <c r="A5233" s="57">
        <v>38656</v>
      </c>
      <c r="B5233">
        <v>1.2022999999999999</v>
      </c>
    </row>
    <row r="5234" spans="1:2" x14ac:dyDescent="0.2">
      <c r="A5234" s="57">
        <v>38655</v>
      </c>
    </row>
    <row r="5235" spans="1:2" x14ac:dyDescent="0.2">
      <c r="A5235" s="57">
        <v>38654</v>
      </c>
    </row>
    <row r="5236" spans="1:2" x14ac:dyDescent="0.2">
      <c r="A5236" s="57">
        <v>38653</v>
      </c>
      <c r="B5236">
        <v>1.2138</v>
      </c>
    </row>
    <row r="5237" spans="1:2" x14ac:dyDescent="0.2">
      <c r="A5237" s="57">
        <v>38652</v>
      </c>
      <c r="B5237">
        <v>1.2130000000000001</v>
      </c>
    </row>
    <row r="5238" spans="1:2" x14ac:dyDescent="0.2">
      <c r="A5238" s="57">
        <v>38651</v>
      </c>
      <c r="B5238">
        <v>1.2059</v>
      </c>
    </row>
    <row r="5239" spans="1:2" x14ac:dyDescent="0.2">
      <c r="A5239" s="57">
        <v>38650</v>
      </c>
      <c r="B5239">
        <v>1.2017</v>
      </c>
    </row>
    <row r="5240" spans="1:2" x14ac:dyDescent="0.2">
      <c r="A5240" s="57">
        <v>38649</v>
      </c>
      <c r="B5240">
        <v>1.1943999999999999</v>
      </c>
    </row>
    <row r="5241" spans="1:2" x14ac:dyDescent="0.2">
      <c r="A5241" s="57">
        <v>38648</v>
      </c>
    </row>
    <row r="5242" spans="1:2" x14ac:dyDescent="0.2">
      <c r="A5242" s="57">
        <v>38647</v>
      </c>
    </row>
    <row r="5243" spans="1:2" x14ac:dyDescent="0.2">
      <c r="A5243" s="57">
        <v>38646</v>
      </c>
      <c r="B5243">
        <v>1.2012</v>
      </c>
    </row>
    <row r="5244" spans="1:2" x14ac:dyDescent="0.2">
      <c r="A5244" s="57">
        <v>38645</v>
      </c>
      <c r="B5244">
        <v>1.1953</v>
      </c>
    </row>
    <row r="5245" spans="1:2" x14ac:dyDescent="0.2">
      <c r="A5245" s="57">
        <v>38644</v>
      </c>
      <c r="B5245">
        <v>1.1950000000000001</v>
      </c>
    </row>
    <row r="5246" spans="1:2" x14ac:dyDescent="0.2">
      <c r="A5246" s="57">
        <v>38643</v>
      </c>
      <c r="B5246">
        <v>1.1937</v>
      </c>
    </row>
    <row r="5247" spans="1:2" x14ac:dyDescent="0.2">
      <c r="A5247" s="57">
        <v>38642</v>
      </c>
      <c r="B5247">
        <v>1.2021999999999999</v>
      </c>
    </row>
    <row r="5248" spans="1:2" x14ac:dyDescent="0.2">
      <c r="A5248" s="57">
        <v>38641</v>
      </c>
    </row>
    <row r="5249" spans="1:2" x14ac:dyDescent="0.2">
      <c r="A5249" s="57">
        <v>38640</v>
      </c>
    </row>
    <row r="5250" spans="1:2" x14ac:dyDescent="0.2">
      <c r="A5250" s="57">
        <v>38639</v>
      </c>
      <c r="B5250">
        <v>1.1999</v>
      </c>
    </row>
    <row r="5251" spans="1:2" x14ac:dyDescent="0.2">
      <c r="A5251" s="57">
        <v>38638</v>
      </c>
      <c r="B5251">
        <v>1.198</v>
      </c>
    </row>
    <row r="5252" spans="1:2" x14ac:dyDescent="0.2">
      <c r="A5252" s="57">
        <v>38637</v>
      </c>
      <c r="B5252">
        <v>1.2008000000000001</v>
      </c>
    </row>
    <row r="5253" spans="1:2" x14ac:dyDescent="0.2">
      <c r="A5253" s="57">
        <v>38636</v>
      </c>
      <c r="B5253">
        <v>1.2021999999999999</v>
      </c>
    </row>
    <row r="5254" spans="1:2" x14ac:dyDescent="0.2">
      <c r="A5254" s="57">
        <v>38635</v>
      </c>
      <c r="B5254">
        <v>1.2088000000000001</v>
      </c>
    </row>
    <row r="5255" spans="1:2" x14ac:dyDescent="0.2">
      <c r="A5255" s="57">
        <v>38634</v>
      </c>
    </row>
    <row r="5256" spans="1:2" x14ac:dyDescent="0.2">
      <c r="A5256" s="57">
        <v>38633</v>
      </c>
    </row>
    <row r="5257" spans="1:2" x14ac:dyDescent="0.2">
      <c r="A5257" s="57">
        <v>38632</v>
      </c>
      <c r="B5257">
        <v>1.2143999999999999</v>
      </c>
    </row>
    <row r="5258" spans="1:2" x14ac:dyDescent="0.2">
      <c r="A5258" s="57">
        <v>38631</v>
      </c>
      <c r="B5258">
        <v>1.2060999999999999</v>
      </c>
    </row>
    <row r="5259" spans="1:2" x14ac:dyDescent="0.2">
      <c r="A5259" s="57">
        <v>38630</v>
      </c>
      <c r="B5259">
        <v>1.1947000000000001</v>
      </c>
    </row>
    <row r="5260" spans="1:2" x14ac:dyDescent="0.2">
      <c r="A5260" s="57">
        <v>38629</v>
      </c>
      <c r="B5260">
        <v>1.1938</v>
      </c>
    </row>
    <row r="5261" spans="1:2" x14ac:dyDescent="0.2">
      <c r="A5261" s="57">
        <v>38628</v>
      </c>
      <c r="B5261">
        <v>1.1933</v>
      </c>
    </row>
    <row r="5262" spans="1:2" x14ac:dyDescent="0.2">
      <c r="A5262" s="57">
        <v>38627</v>
      </c>
    </row>
    <row r="5263" spans="1:2" x14ac:dyDescent="0.2">
      <c r="A5263" s="57">
        <v>38626</v>
      </c>
    </row>
    <row r="5264" spans="1:2" x14ac:dyDescent="0.2">
      <c r="A5264" s="57">
        <v>38625</v>
      </c>
      <c r="B5264">
        <v>1.2041999999999999</v>
      </c>
    </row>
    <row r="5265" spans="1:2" x14ac:dyDescent="0.2">
      <c r="A5265" s="57">
        <v>38624</v>
      </c>
      <c r="B5265">
        <v>1.2062999999999999</v>
      </c>
    </row>
    <row r="5266" spans="1:2" x14ac:dyDescent="0.2">
      <c r="A5266" s="57">
        <v>38623</v>
      </c>
      <c r="B5266">
        <v>1.2037</v>
      </c>
    </row>
    <row r="5267" spans="1:2" x14ac:dyDescent="0.2">
      <c r="A5267" s="57">
        <v>38622</v>
      </c>
      <c r="B5267">
        <v>1.2004999999999999</v>
      </c>
    </row>
    <row r="5268" spans="1:2" x14ac:dyDescent="0.2">
      <c r="A5268" s="57">
        <v>38621</v>
      </c>
      <c r="B5268">
        <v>1.2031000000000001</v>
      </c>
    </row>
    <row r="5269" spans="1:2" x14ac:dyDescent="0.2">
      <c r="A5269" s="57">
        <v>38620</v>
      </c>
    </row>
    <row r="5270" spans="1:2" x14ac:dyDescent="0.2">
      <c r="A5270" s="57">
        <v>38619</v>
      </c>
    </row>
    <row r="5271" spans="1:2" x14ac:dyDescent="0.2">
      <c r="A5271" s="57">
        <v>38618</v>
      </c>
      <c r="B5271">
        <v>1.2118</v>
      </c>
    </row>
    <row r="5272" spans="1:2" x14ac:dyDescent="0.2">
      <c r="A5272" s="57">
        <v>38617</v>
      </c>
      <c r="B5272">
        <v>1.2223999999999999</v>
      </c>
    </row>
    <row r="5273" spans="1:2" x14ac:dyDescent="0.2">
      <c r="A5273" s="57">
        <v>38616</v>
      </c>
      <c r="B5273">
        <v>1.2224999999999999</v>
      </c>
    </row>
    <row r="5274" spans="1:2" x14ac:dyDescent="0.2">
      <c r="A5274" s="57">
        <v>38615</v>
      </c>
      <c r="B5274">
        <v>1.2154</v>
      </c>
    </row>
    <row r="5275" spans="1:2" x14ac:dyDescent="0.2">
      <c r="A5275" s="57">
        <v>38614</v>
      </c>
      <c r="B5275">
        <v>1.2139</v>
      </c>
    </row>
    <row r="5276" spans="1:2" x14ac:dyDescent="0.2">
      <c r="A5276" s="57">
        <v>38613</v>
      </c>
    </row>
    <row r="5277" spans="1:2" x14ac:dyDescent="0.2">
      <c r="A5277" s="57">
        <v>38612</v>
      </c>
    </row>
    <row r="5278" spans="1:2" x14ac:dyDescent="0.2">
      <c r="A5278" s="57">
        <v>38611</v>
      </c>
      <c r="B5278">
        <v>1.2242999999999999</v>
      </c>
    </row>
    <row r="5279" spans="1:2" x14ac:dyDescent="0.2">
      <c r="A5279" s="57">
        <v>38610</v>
      </c>
      <c r="B5279">
        <v>1.2222999999999999</v>
      </c>
    </row>
    <row r="5280" spans="1:2" x14ac:dyDescent="0.2">
      <c r="A5280" s="57">
        <v>38609</v>
      </c>
      <c r="B5280">
        <v>1.2314000000000001</v>
      </c>
    </row>
    <row r="5281" spans="1:2" x14ac:dyDescent="0.2">
      <c r="A5281" s="57">
        <v>38608</v>
      </c>
      <c r="B5281">
        <v>1.2276</v>
      </c>
    </row>
    <row r="5282" spans="1:2" x14ac:dyDescent="0.2">
      <c r="A5282" s="57">
        <v>38607</v>
      </c>
      <c r="B5282">
        <v>1.2313000000000001</v>
      </c>
    </row>
    <row r="5283" spans="1:2" x14ac:dyDescent="0.2">
      <c r="A5283" s="57">
        <v>38606</v>
      </c>
    </row>
    <row r="5284" spans="1:2" x14ac:dyDescent="0.2">
      <c r="A5284" s="57">
        <v>38605</v>
      </c>
    </row>
    <row r="5285" spans="1:2" x14ac:dyDescent="0.2">
      <c r="A5285" s="57">
        <v>38604</v>
      </c>
      <c r="B5285">
        <v>1.2415</v>
      </c>
    </row>
    <row r="5286" spans="1:2" x14ac:dyDescent="0.2">
      <c r="A5286" s="57">
        <v>38603</v>
      </c>
      <c r="B5286">
        <v>1.2418</v>
      </c>
    </row>
    <row r="5287" spans="1:2" x14ac:dyDescent="0.2">
      <c r="A5287" s="57">
        <v>38602</v>
      </c>
      <c r="B5287">
        <v>1.2451000000000001</v>
      </c>
    </row>
    <row r="5288" spans="1:2" x14ac:dyDescent="0.2">
      <c r="A5288" s="57">
        <v>38601</v>
      </c>
      <c r="B5288">
        <v>1.2483</v>
      </c>
    </row>
    <row r="5289" spans="1:2" x14ac:dyDescent="0.2">
      <c r="A5289" s="57">
        <v>38600</v>
      </c>
      <c r="B5289">
        <v>1.2538</v>
      </c>
    </row>
    <row r="5290" spans="1:2" x14ac:dyDescent="0.2">
      <c r="A5290" s="57">
        <v>38599</v>
      </c>
    </row>
    <row r="5291" spans="1:2" x14ac:dyDescent="0.2">
      <c r="A5291" s="57">
        <v>38598</v>
      </c>
    </row>
    <row r="5292" spans="1:2" x14ac:dyDescent="0.2">
      <c r="A5292" s="57">
        <v>38597</v>
      </c>
      <c r="B5292">
        <v>1.2541</v>
      </c>
    </row>
    <row r="5293" spans="1:2" x14ac:dyDescent="0.2">
      <c r="A5293" s="57">
        <v>38596</v>
      </c>
      <c r="B5293">
        <v>1.2387999999999999</v>
      </c>
    </row>
    <row r="5294" spans="1:2" x14ac:dyDescent="0.2">
      <c r="A5294" s="57">
        <v>38595</v>
      </c>
      <c r="B5294">
        <v>1.2198</v>
      </c>
    </row>
    <row r="5295" spans="1:2" x14ac:dyDescent="0.2">
      <c r="A5295" s="57">
        <v>38594</v>
      </c>
      <c r="B5295">
        <v>1.2181</v>
      </c>
    </row>
    <row r="5296" spans="1:2" x14ac:dyDescent="0.2">
      <c r="A5296" s="57">
        <v>38593</v>
      </c>
      <c r="B5296">
        <v>1.2289000000000001</v>
      </c>
    </row>
    <row r="5297" spans="1:2" x14ac:dyDescent="0.2">
      <c r="A5297" s="57">
        <v>38592</v>
      </c>
    </row>
    <row r="5298" spans="1:2" x14ac:dyDescent="0.2">
      <c r="A5298" s="57">
        <v>38591</v>
      </c>
    </row>
    <row r="5299" spans="1:2" x14ac:dyDescent="0.2">
      <c r="A5299" s="57">
        <v>38590</v>
      </c>
      <c r="B5299">
        <v>1.2306999999999999</v>
      </c>
    </row>
    <row r="5300" spans="1:2" x14ac:dyDescent="0.2">
      <c r="A5300" s="57">
        <v>38589</v>
      </c>
      <c r="B5300">
        <v>1.2272000000000001</v>
      </c>
    </row>
    <row r="5301" spans="1:2" x14ac:dyDescent="0.2">
      <c r="A5301" s="57">
        <v>38588</v>
      </c>
      <c r="B5301">
        <v>1.2211000000000001</v>
      </c>
    </row>
    <row r="5302" spans="1:2" x14ac:dyDescent="0.2">
      <c r="A5302" s="57">
        <v>38587</v>
      </c>
      <c r="B5302">
        <v>1.2233000000000001</v>
      </c>
    </row>
    <row r="5303" spans="1:2" x14ac:dyDescent="0.2">
      <c r="A5303" s="57">
        <v>38586</v>
      </c>
      <c r="B5303">
        <v>1.2231000000000001</v>
      </c>
    </row>
    <row r="5304" spans="1:2" x14ac:dyDescent="0.2">
      <c r="A5304" s="57">
        <v>38585</v>
      </c>
    </row>
    <row r="5305" spans="1:2" x14ac:dyDescent="0.2">
      <c r="A5305" s="57">
        <v>38584</v>
      </c>
    </row>
    <row r="5306" spans="1:2" x14ac:dyDescent="0.2">
      <c r="A5306" s="57">
        <v>38583</v>
      </c>
      <c r="B5306">
        <v>1.2182999999999999</v>
      </c>
    </row>
    <row r="5307" spans="1:2" x14ac:dyDescent="0.2">
      <c r="A5307" s="57">
        <v>38582</v>
      </c>
      <c r="B5307">
        <v>1.2213000000000001</v>
      </c>
    </row>
    <row r="5308" spans="1:2" x14ac:dyDescent="0.2">
      <c r="A5308" s="57">
        <v>38581</v>
      </c>
      <c r="B5308">
        <v>1.2296</v>
      </c>
    </row>
    <row r="5309" spans="1:2" x14ac:dyDescent="0.2">
      <c r="A5309" s="57">
        <v>38580</v>
      </c>
      <c r="B5309">
        <v>1.2313000000000001</v>
      </c>
    </row>
    <row r="5310" spans="1:2" x14ac:dyDescent="0.2">
      <c r="A5310" s="57">
        <v>38579</v>
      </c>
      <c r="B5310">
        <v>1.2374000000000001</v>
      </c>
    </row>
    <row r="5311" spans="1:2" x14ac:dyDescent="0.2">
      <c r="A5311" s="57">
        <v>38578</v>
      </c>
    </row>
    <row r="5312" spans="1:2" x14ac:dyDescent="0.2">
      <c r="A5312" s="57">
        <v>38577</v>
      </c>
    </row>
    <row r="5313" spans="1:2" x14ac:dyDescent="0.2">
      <c r="A5313" s="57">
        <v>38576</v>
      </c>
      <c r="B5313">
        <v>1.2457</v>
      </c>
    </row>
    <row r="5314" spans="1:2" x14ac:dyDescent="0.2">
      <c r="A5314" s="57">
        <v>38575</v>
      </c>
      <c r="B5314">
        <v>1.2404999999999999</v>
      </c>
    </row>
    <row r="5315" spans="1:2" x14ac:dyDescent="0.2">
      <c r="A5315" s="57">
        <v>38574</v>
      </c>
      <c r="B5315">
        <v>1.2377</v>
      </c>
    </row>
    <row r="5316" spans="1:2" x14ac:dyDescent="0.2">
      <c r="A5316" s="57">
        <v>38573</v>
      </c>
      <c r="B5316">
        <v>1.2366999999999999</v>
      </c>
    </row>
    <row r="5317" spans="1:2" x14ac:dyDescent="0.2">
      <c r="A5317" s="57">
        <v>38572</v>
      </c>
      <c r="B5317">
        <v>1.2370000000000001</v>
      </c>
    </row>
    <row r="5318" spans="1:2" x14ac:dyDescent="0.2">
      <c r="A5318" s="57">
        <v>38571</v>
      </c>
    </row>
    <row r="5319" spans="1:2" x14ac:dyDescent="0.2">
      <c r="A5319" s="57">
        <v>38570</v>
      </c>
    </row>
    <row r="5320" spans="1:2" x14ac:dyDescent="0.2">
      <c r="A5320" s="57">
        <v>38569</v>
      </c>
      <c r="B5320">
        <v>1.2385999999999999</v>
      </c>
    </row>
    <row r="5321" spans="1:2" x14ac:dyDescent="0.2">
      <c r="A5321" s="57">
        <v>38568</v>
      </c>
      <c r="B5321">
        <v>1.2319</v>
      </c>
    </row>
    <row r="5322" spans="1:2" x14ac:dyDescent="0.2">
      <c r="A5322" s="57">
        <v>38567</v>
      </c>
      <c r="B5322">
        <v>1.2307999999999999</v>
      </c>
    </row>
    <row r="5323" spans="1:2" x14ac:dyDescent="0.2">
      <c r="A5323" s="57">
        <v>38566</v>
      </c>
      <c r="B5323">
        <v>1.2217</v>
      </c>
    </row>
    <row r="5324" spans="1:2" x14ac:dyDescent="0.2">
      <c r="A5324" s="57">
        <v>38565</v>
      </c>
      <c r="B5324">
        <v>1.2219</v>
      </c>
    </row>
    <row r="5325" spans="1:2" x14ac:dyDescent="0.2">
      <c r="A5325" s="57">
        <v>38564</v>
      </c>
    </row>
    <row r="5326" spans="1:2" x14ac:dyDescent="0.2">
      <c r="A5326" s="57">
        <v>38563</v>
      </c>
    </row>
    <row r="5327" spans="1:2" x14ac:dyDescent="0.2">
      <c r="A5327" s="57">
        <v>38562</v>
      </c>
      <c r="B5327">
        <v>1.2093</v>
      </c>
    </row>
    <row r="5328" spans="1:2" x14ac:dyDescent="0.2">
      <c r="A5328" s="57">
        <v>38561</v>
      </c>
      <c r="B5328">
        <v>1.21</v>
      </c>
    </row>
    <row r="5329" spans="1:2" x14ac:dyDescent="0.2">
      <c r="A5329" s="57">
        <v>38560</v>
      </c>
      <c r="B5329">
        <v>1.1990000000000001</v>
      </c>
    </row>
    <row r="5330" spans="1:2" x14ac:dyDescent="0.2">
      <c r="A5330" s="57">
        <v>38559</v>
      </c>
      <c r="B5330">
        <v>1.1987000000000001</v>
      </c>
    </row>
    <row r="5331" spans="1:2" x14ac:dyDescent="0.2">
      <c r="A5331" s="57">
        <v>38558</v>
      </c>
      <c r="B5331">
        <v>1.2064999999999999</v>
      </c>
    </row>
    <row r="5332" spans="1:2" x14ac:dyDescent="0.2">
      <c r="A5332" s="57">
        <v>38557</v>
      </c>
    </row>
    <row r="5333" spans="1:2" x14ac:dyDescent="0.2">
      <c r="A5333" s="57">
        <v>38556</v>
      </c>
    </row>
    <row r="5334" spans="1:2" x14ac:dyDescent="0.2">
      <c r="A5334" s="57">
        <v>38555</v>
      </c>
      <c r="B5334">
        <v>1.2142999999999999</v>
      </c>
    </row>
    <row r="5335" spans="1:2" x14ac:dyDescent="0.2">
      <c r="A5335" s="57">
        <v>38554</v>
      </c>
      <c r="B5335">
        <v>1.2186999999999999</v>
      </c>
    </row>
    <row r="5336" spans="1:2" x14ac:dyDescent="0.2">
      <c r="A5336" s="57">
        <v>38553</v>
      </c>
      <c r="B5336">
        <v>1.2062999999999999</v>
      </c>
    </row>
    <row r="5337" spans="1:2" x14ac:dyDescent="0.2">
      <c r="A5337" s="57">
        <v>38552</v>
      </c>
      <c r="B5337">
        <v>1.1964999999999999</v>
      </c>
    </row>
    <row r="5338" spans="1:2" x14ac:dyDescent="0.2">
      <c r="A5338" s="57">
        <v>38551</v>
      </c>
      <c r="B5338">
        <v>1.2054</v>
      </c>
    </row>
    <row r="5339" spans="1:2" x14ac:dyDescent="0.2">
      <c r="A5339" s="57">
        <v>38550</v>
      </c>
    </row>
    <row r="5340" spans="1:2" x14ac:dyDescent="0.2">
      <c r="A5340" s="57">
        <v>38549</v>
      </c>
    </row>
    <row r="5341" spans="1:2" x14ac:dyDescent="0.2">
      <c r="A5341" s="57">
        <v>38548</v>
      </c>
      <c r="B5341">
        <v>1.2073</v>
      </c>
    </row>
    <row r="5342" spans="1:2" x14ac:dyDescent="0.2">
      <c r="A5342" s="57">
        <v>38547</v>
      </c>
      <c r="B5342">
        <v>1.2067000000000001</v>
      </c>
    </row>
    <row r="5343" spans="1:2" x14ac:dyDescent="0.2">
      <c r="A5343" s="57">
        <v>38546</v>
      </c>
      <c r="B5343">
        <v>1.2183999999999999</v>
      </c>
    </row>
    <row r="5344" spans="1:2" x14ac:dyDescent="0.2">
      <c r="A5344" s="57">
        <v>38545</v>
      </c>
      <c r="B5344">
        <v>1.2165999999999999</v>
      </c>
    </row>
    <row r="5345" spans="1:2" x14ac:dyDescent="0.2">
      <c r="A5345" s="57">
        <v>38544</v>
      </c>
      <c r="B5345">
        <v>1.2005999999999999</v>
      </c>
    </row>
    <row r="5346" spans="1:2" x14ac:dyDescent="0.2">
      <c r="A5346" s="57">
        <v>38543</v>
      </c>
    </row>
    <row r="5347" spans="1:2" x14ac:dyDescent="0.2">
      <c r="A5347" s="57">
        <v>38542</v>
      </c>
    </row>
    <row r="5348" spans="1:2" x14ac:dyDescent="0.2">
      <c r="A5348" s="57">
        <v>38541</v>
      </c>
      <c r="B5348">
        <v>1.1903999999999999</v>
      </c>
    </row>
    <row r="5349" spans="1:2" x14ac:dyDescent="0.2">
      <c r="A5349" s="57">
        <v>38540</v>
      </c>
      <c r="B5349">
        <v>1.1957</v>
      </c>
    </row>
    <row r="5350" spans="1:2" x14ac:dyDescent="0.2">
      <c r="A5350" s="57">
        <v>38539</v>
      </c>
      <c r="B5350">
        <v>1.1913</v>
      </c>
    </row>
    <row r="5351" spans="1:2" x14ac:dyDescent="0.2">
      <c r="A5351" s="57">
        <v>38538</v>
      </c>
      <c r="B5351">
        <v>1.1882999999999999</v>
      </c>
    </row>
    <row r="5352" spans="1:2" x14ac:dyDescent="0.2">
      <c r="A5352" s="57">
        <v>38537</v>
      </c>
      <c r="B5352">
        <v>1.1894</v>
      </c>
    </row>
    <row r="5353" spans="1:2" x14ac:dyDescent="0.2">
      <c r="A5353" s="57">
        <v>38536</v>
      </c>
    </row>
    <row r="5354" spans="1:2" x14ac:dyDescent="0.2">
      <c r="A5354" s="57">
        <v>38535</v>
      </c>
    </row>
    <row r="5355" spans="1:2" x14ac:dyDescent="0.2">
      <c r="A5355" s="57">
        <v>38534</v>
      </c>
      <c r="B5355">
        <v>1.2087000000000001</v>
      </c>
    </row>
    <row r="5356" spans="1:2" x14ac:dyDescent="0.2">
      <c r="A5356" s="57">
        <v>38533</v>
      </c>
      <c r="B5356">
        <v>1.2092000000000001</v>
      </c>
    </row>
    <row r="5357" spans="1:2" x14ac:dyDescent="0.2">
      <c r="A5357" s="57">
        <v>38532</v>
      </c>
      <c r="B5357">
        <v>1.2054</v>
      </c>
    </row>
    <row r="5358" spans="1:2" x14ac:dyDescent="0.2">
      <c r="A5358" s="57">
        <v>38531</v>
      </c>
      <c r="B5358">
        <v>1.2095</v>
      </c>
    </row>
    <row r="5359" spans="1:2" x14ac:dyDescent="0.2">
      <c r="A5359" s="57">
        <v>38530</v>
      </c>
      <c r="B5359">
        <v>1.2163999999999999</v>
      </c>
    </row>
    <row r="5360" spans="1:2" x14ac:dyDescent="0.2">
      <c r="A5360" s="57">
        <v>38529</v>
      </c>
    </row>
    <row r="5361" spans="1:2" x14ac:dyDescent="0.2">
      <c r="A5361" s="57">
        <v>38528</v>
      </c>
    </row>
    <row r="5362" spans="1:2" x14ac:dyDescent="0.2">
      <c r="A5362" s="57">
        <v>38527</v>
      </c>
      <c r="B5362">
        <v>1.2081999999999999</v>
      </c>
    </row>
    <row r="5363" spans="1:2" x14ac:dyDescent="0.2">
      <c r="A5363" s="57">
        <v>38526</v>
      </c>
      <c r="B5363">
        <v>1.2065999999999999</v>
      </c>
    </row>
    <row r="5364" spans="1:2" x14ac:dyDescent="0.2">
      <c r="A5364" s="57">
        <v>38525</v>
      </c>
      <c r="B5364">
        <v>1.2111000000000001</v>
      </c>
    </row>
    <row r="5365" spans="1:2" x14ac:dyDescent="0.2">
      <c r="A5365" s="57">
        <v>38524</v>
      </c>
      <c r="B5365">
        <v>1.2092000000000001</v>
      </c>
    </row>
    <row r="5366" spans="1:2" x14ac:dyDescent="0.2">
      <c r="A5366" s="57">
        <v>38523</v>
      </c>
      <c r="B5366">
        <v>1.2210000000000001</v>
      </c>
    </row>
    <row r="5367" spans="1:2" x14ac:dyDescent="0.2">
      <c r="A5367" s="57">
        <v>38522</v>
      </c>
    </row>
    <row r="5368" spans="1:2" x14ac:dyDescent="0.2">
      <c r="A5368" s="57">
        <v>38521</v>
      </c>
    </row>
    <row r="5369" spans="1:2" x14ac:dyDescent="0.2">
      <c r="A5369" s="57">
        <v>38520</v>
      </c>
      <c r="B5369">
        <v>1.2177</v>
      </c>
    </row>
    <row r="5370" spans="1:2" x14ac:dyDescent="0.2">
      <c r="A5370" s="57">
        <v>38519</v>
      </c>
      <c r="B5370">
        <v>1.2115</v>
      </c>
    </row>
    <row r="5371" spans="1:2" x14ac:dyDescent="0.2">
      <c r="A5371" s="57">
        <v>38518</v>
      </c>
      <c r="B5371">
        <v>1.2069000000000001</v>
      </c>
    </row>
    <row r="5372" spans="1:2" x14ac:dyDescent="0.2">
      <c r="A5372" s="57">
        <v>38517</v>
      </c>
      <c r="B5372">
        <v>1.2110000000000001</v>
      </c>
    </row>
    <row r="5373" spans="1:2" x14ac:dyDescent="0.2">
      <c r="A5373" s="57">
        <v>38516</v>
      </c>
      <c r="B5373">
        <v>1.2061999999999999</v>
      </c>
    </row>
    <row r="5374" spans="1:2" x14ac:dyDescent="0.2">
      <c r="A5374" s="57">
        <v>38515</v>
      </c>
    </row>
    <row r="5375" spans="1:2" x14ac:dyDescent="0.2">
      <c r="A5375" s="57">
        <v>38514</v>
      </c>
    </row>
    <row r="5376" spans="1:2" x14ac:dyDescent="0.2">
      <c r="A5376" s="57">
        <v>38513</v>
      </c>
      <c r="B5376">
        <v>1.2229000000000001</v>
      </c>
    </row>
    <row r="5377" spans="1:2" x14ac:dyDescent="0.2">
      <c r="A5377" s="57">
        <v>38512</v>
      </c>
      <c r="B5377">
        <v>1.2239</v>
      </c>
    </row>
    <row r="5378" spans="1:2" x14ac:dyDescent="0.2">
      <c r="A5378" s="57">
        <v>38511</v>
      </c>
      <c r="B5378">
        <v>1.2323999999999999</v>
      </c>
    </row>
    <row r="5379" spans="1:2" x14ac:dyDescent="0.2">
      <c r="A5379" s="57">
        <v>38510</v>
      </c>
      <c r="B5379">
        <v>1.2284999999999999</v>
      </c>
    </row>
    <row r="5380" spans="1:2" x14ac:dyDescent="0.2">
      <c r="A5380" s="57">
        <v>38509</v>
      </c>
      <c r="B5380">
        <v>1.2272000000000001</v>
      </c>
    </row>
    <row r="5381" spans="1:2" x14ac:dyDescent="0.2">
      <c r="A5381" s="57">
        <v>38508</v>
      </c>
    </row>
    <row r="5382" spans="1:2" x14ac:dyDescent="0.2">
      <c r="A5382" s="57">
        <v>38507</v>
      </c>
    </row>
    <row r="5383" spans="1:2" x14ac:dyDescent="0.2">
      <c r="A5383" s="57">
        <v>38506</v>
      </c>
      <c r="B5383">
        <v>1.2289000000000001</v>
      </c>
    </row>
    <row r="5384" spans="1:2" x14ac:dyDescent="0.2">
      <c r="A5384" s="57">
        <v>38505</v>
      </c>
      <c r="B5384">
        <v>1.2262999999999999</v>
      </c>
    </row>
    <row r="5385" spans="1:2" x14ac:dyDescent="0.2">
      <c r="A5385" s="57">
        <v>38504</v>
      </c>
      <c r="B5385">
        <v>1.2228000000000001</v>
      </c>
    </row>
    <row r="5386" spans="1:2" x14ac:dyDescent="0.2">
      <c r="A5386" s="57">
        <v>38503</v>
      </c>
      <c r="B5386">
        <v>1.2331000000000001</v>
      </c>
    </row>
    <row r="5387" spans="1:2" x14ac:dyDescent="0.2">
      <c r="A5387" s="57">
        <v>38502</v>
      </c>
      <c r="B5387">
        <v>1.2472000000000001</v>
      </c>
    </row>
    <row r="5388" spans="1:2" x14ac:dyDescent="0.2">
      <c r="A5388" s="57">
        <v>38501</v>
      </c>
    </row>
    <row r="5389" spans="1:2" x14ac:dyDescent="0.2">
      <c r="A5389" s="57">
        <v>38500</v>
      </c>
    </row>
    <row r="5390" spans="1:2" x14ac:dyDescent="0.2">
      <c r="A5390" s="57">
        <v>38499</v>
      </c>
      <c r="B5390">
        <v>1.2551000000000001</v>
      </c>
    </row>
    <row r="5391" spans="1:2" x14ac:dyDescent="0.2">
      <c r="A5391" s="57">
        <v>38498</v>
      </c>
      <c r="B5391">
        <v>1.2523</v>
      </c>
    </row>
    <row r="5392" spans="1:2" x14ac:dyDescent="0.2">
      <c r="A5392" s="57">
        <v>38497</v>
      </c>
      <c r="B5392">
        <v>1.2564</v>
      </c>
    </row>
    <row r="5393" spans="1:2" x14ac:dyDescent="0.2">
      <c r="A5393" s="57">
        <v>38496</v>
      </c>
      <c r="B5393">
        <v>1.2617</v>
      </c>
    </row>
    <row r="5394" spans="1:2" x14ac:dyDescent="0.2">
      <c r="A5394" s="57">
        <v>38495</v>
      </c>
      <c r="B5394">
        <v>1.2547999999999999</v>
      </c>
    </row>
    <row r="5395" spans="1:2" x14ac:dyDescent="0.2">
      <c r="A5395" s="57">
        <v>38494</v>
      </c>
    </row>
    <row r="5396" spans="1:2" x14ac:dyDescent="0.2">
      <c r="A5396" s="57">
        <v>38493</v>
      </c>
    </row>
    <row r="5397" spans="1:2" x14ac:dyDescent="0.2">
      <c r="A5397" s="57">
        <v>38492</v>
      </c>
      <c r="B5397">
        <v>1.2606999999999999</v>
      </c>
    </row>
    <row r="5398" spans="1:2" x14ac:dyDescent="0.2">
      <c r="A5398" s="57">
        <v>38491</v>
      </c>
      <c r="B5398">
        <v>1.2642</v>
      </c>
    </row>
    <row r="5399" spans="1:2" x14ac:dyDescent="0.2">
      <c r="A5399" s="57">
        <v>38490</v>
      </c>
      <c r="B5399">
        <v>1.2621</v>
      </c>
    </row>
    <row r="5400" spans="1:2" x14ac:dyDescent="0.2">
      <c r="A5400" s="57">
        <v>38489</v>
      </c>
      <c r="B5400">
        <v>1.2636000000000001</v>
      </c>
    </row>
    <row r="5401" spans="1:2" x14ac:dyDescent="0.2">
      <c r="A5401" s="57">
        <v>38488</v>
      </c>
      <c r="B5401">
        <v>1.2616000000000001</v>
      </c>
    </row>
    <row r="5402" spans="1:2" x14ac:dyDescent="0.2">
      <c r="A5402" s="57">
        <v>38487</v>
      </c>
    </row>
    <row r="5403" spans="1:2" x14ac:dyDescent="0.2">
      <c r="A5403" s="57">
        <v>38486</v>
      </c>
    </row>
    <row r="5404" spans="1:2" x14ac:dyDescent="0.2">
      <c r="A5404" s="57">
        <v>38485</v>
      </c>
      <c r="B5404">
        <v>1.2635000000000001</v>
      </c>
    </row>
    <row r="5405" spans="1:2" x14ac:dyDescent="0.2">
      <c r="A5405" s="57">
        <v>38484</v>
      </c>
      <c r="B5405">
        <v>1.2770999999999999</v>
      </c>
    </row>
    <row r="5406" spans="1:2" x14ac:dyDescent="0.2">
      <c r="A5406" s="57">
        <v>38483</v>
      </c>
      <c r="B5406">
        <v>1.2882</v>
      </c>
    </row>
    <row r="5407" spans="1:2" x14ac:dyDescent="0.2">
      <c r="A5407" s="57">
        <v>38482</v>
      </c>
      <c r="B5407">
        <v>1.2854000000000001</v>
      </c>
    </row>
    <row r="5408" spans="1:2" x14ac:dyDescent="0.2">
      <c r="A5408" s="57">
        <v>38481</v>
      </c>
      <c r="B5408">
        <v>1.2824</v>
      </c>
    </row>
    <row r="5409" spans="1:2" x14ac:dyDescent="0.2">
      <c r="A5409" s="57">
        <v>38480</v>
      </c>
    </row>
    <row r="5410" spans="1:2" x14ac:dyDescent="0.2">
      <c r="A5410" s="57">
        <v>38479</v>
      </c>
    </row>
    <row r="5411" spans="1:2" x14ac:dyDescent="0.2">
      <c r="A5411" s="57">
        <v>38478</v>
      </c>
      <c r="B5411">
        <v>1.2947</v>
      </c>
    </row>
    <row r="5412" spans="1:2" x14ac:dyDescent="0.2">
      <c r="A5412" s="57">
        <v>38477</v>
      </c>
      <c r="B5412">
        <v>1.2954000000000001</v>
      </c>
    </row>
    <row r="5413" spans="1:2" x14ac:dyDescent="0.2">
      <c r="A5413" s="57">
        <v>38476</v>
      </c>
      <c r="B5413">
        <v>1.2952999999999999</v>
      </c>
    </row>
    <row r="5414" spans="1:2" x14ac:dyDescent="0.2">
      <c r="A5414" s="57">
        <v>38475</v>
      </c>
      <c r="B5414">
        <v>1.2856000000000001</v>
      </c>
    </row>
    <row r="5415" spans="1:2" x14ac:dyDescent="0.2">
      <c r="A5415" s="57">
        <v>38474</v>
      </c>
      <c r="B5415">
        <v>1.2863</v>
      </c>
    </row>
    <row r="5416" spans="1:2" x14ac:dyDescent="0.2">
      <c r="A5416" s="57">
        <v>38473</v>
      </c>
    </row>
    <row r="5417" spans="1:2" x14ac:dyDescent="0.2">
      <c r="A5417" s="57">
        <v>38472</v>
      </c>
    </row>
    <row r="5418" spans="1:2" x14ac:dyDescent="0.2">
      <c r="A5418" s="57">
        <v>38471</v>
      </c>
      <c r="B5418">
        <v>1.2957000000000001</v>
      </c>
    </row>
    <row r="5419" spans="1:2" x14ac:dyDescent="0.2">
      <c r="A5419" s="57">
        <v>38470</v>
      </c>
      <c r="B5419">
        <v>1.2905</v>
      </c>
    </row>
    <row r="5420" spans="1:2" x14ac:dyDescent="0.2">
      <c r="A5420" s="57">
        <v>38469</v>
      </c>
      <c r="B5420">
        <v>1.292</v>
      </c>
    </row>
    <row r="5421" spans="1:2" x14ac:dyDescent="0.2">
      <c r="A5421" s="57">
        <v>38468</v>
      </c>
      <c r="B5421">
        <v>1.2981</v>
      </c>
    </row>
    <row r="5422" spans="1:2" x14ac:dyDescent="0.2">
      <c r="A5422" s="57">
        <v>38467</v>
      </c>
      <c r="B5422">
        <v>1.2966</v>
      </c>
    </row>
    <row r="5423" spans="1:2" x14ac:dyDescent="0.2">
      <c r="A5423" s="57">
        <v>38466</v>
      </c>
    </row>
    <row r="5424" spans="1:2" x14ac:dyDescent="0.2">
      <c r="A5424" s="57">
        <v>38465</v>
      </c>
    </row>
    <row r="5425" spans="1:2" x14ac:dyDescent="0.2">
      <c r="A5425" s="57">
        <v>38464</v>
      </c>
      <c r="B5425">
        <v>1.3077000000000001</v>
      </c>
    </row>
    <row r="5426" spans="1:2" x14ac:dyDescent="0.2">
      <c r="A5426" s="57">
        <v>38463</v>
      </c>
      <c r="B5426">
        <v>1.3058000000000001</v>
      </c>
    </row>
    <row r="5427" spans="1:2" x14ac:dyDescent="0.2">
      <c r="A5427" s="57">
        <v>38462</v>
      </c>
      <c r="B5427">
        <v>1.3048999999999999</v>
      </c>
    </row>
    <row r="5428" spans="1:2" x14ac:dyDescent="0.2">
      <c r="A5428" s="57">
        <v>38461</v>
      </c>
      <c r="B5428">
        <v>1.2996000000000001</v>
      </c>
    </row>
    <row r="5429" spans="1:2" x14ac:dyDescent="0.2">
      <c r="A5429" s="57">
        <v>38460</v>
      </c>
      <c r="B5429">
        <v>1.2967</v>
      </c>
    </row>
    <row r="5430" spans="1:2" x14ac:dyDescent="0.2">
      <c r="A5430" s="57">
        <v>38459</v>
      </c>
    </row>
    <row r="5431" spans="1:2" x14ac:dyDescent="0.2">
      <c r="A5431" s="57">
        <v>38458</v>
      </c>
    </row>
    <row r="5432" spans="1:2" x14ac:dyDescent="0.2">
      <c r="A5432" s="57">
        <v>38457</v>
      </c>
      <c r="B5432">
        <v>1.2867999999999999</v>
      </c>
    </row>
    <row r="5433" spans="1:2" x14ac:dyDescent="0.2">
      <c r="A5433" s="57">
        <v>38456</v>
      </c>
      <c r="B5433">
        <v>1.282</v>
      </c>
    </row>
    <row r="5434" spans="1:2" x14ac:dyDescent="0.2">
      <c r="A5434" s="57">
        <v>38455</v>
      </c>
      <c r="B5434">
        <v>1.2922</v>
      </c>
    </row>
    <row r="5435" spans="1:2" x14ac:dyDescent="0.2">
      <c r="A5435" s="57">
        <v>38454</v>
      </c>
      <c r="B5435">
        <v>1.2985</v>
      </c>
    </row>
    <row r="5436" spans="1:2" x14ac:dyDescent="0.2">
      <c r="A5436" s="57">
        <v>38453</v>
      </c>
      <c r="B5436">
        <v>1.2970999999999999</v>
      </c>
    </row>
    <row r="5437" spans="1:2" x14ac:dyDescent="0.2">
      <c r="A5437" s="57">
        <v>38452</v>
      </c>
    </row>
    <row r="5438" spans="1:2" x14ac:dyDescent="0.2">
      <c r="A5438" s="57">
        <v>38451</v>
      </c>
    </row>
    <row r="5439" spans="1:2" x14ac:dyDescent="0.2">
      <c r="A5439" s="57">
        <v>38450</v>
      </c>
      <c r="B5439">
        <v>1.2819</v>
      </c>
    </row>
    <row r="5440" spans="1:2" x14ac:dyDescent="0.2">
      <c r="A5440" s="57">
        <v>38449</v>
      </c>
      <c r="B5440">
        <v>1.2923</v>
      </c>
    </row>
    <row r="5441" spans="1:2" x14ac:dyDescent="0.2">
      <c r="A5441" s="57">
        <v>38448</v>
      </c>
      <c r="B5441">
        <v>1.286</v>
      </c>
    </row>
    <row r="5442" spans="1:2" x14ac:dyDescent="0.2">
      <c r="A5442" s="57">
        <v>38447</v>
      </c>
      <c r="B5442">
        <v>1.2809999999999999</v>
      </c>
    </row>
    <row r="5443" spans="1:2" x14ac:dyDescent="0.2">
      <c r="A5443" s="57">
        <v>38446</v>
      </c>
      <c r="B5443">
        <v>1.2883</v>
      </c>
    </row>
    <row r="5444" spans="1:2" x14ac:dyDescent="0.2">
      <c r="A5444" s="57">
        <v>38445</v>
      </c>
    </row>
    <row r="5445" spans="1:2" x14ac:dyDescent="0.2">
      <c r="A5445" s="57">
        <v>38444</v>
      </c>
    </row>
    <row r="5446" spans="1:2" x14ac:dyDescent="0.2">
      <c r="A5446" s="57">
        <v>38443</v>
      </c>
      <c r="B5446">
        <v>1.2959000000000001</v>
      </c>
    </row>
    <row r="5447" spans="1:2" x14ac:dyDescent="0.2">
      <c r="A5447" s="57">
        <v>38442</v>
      </c>
      <c r="B5447">
        <v>1.2964</v>
      </c>
    </row>
    <row r="5448" spans="1:2" x14ac:dyDescent="0.2">
      <c r="A5448" s="57">
        <v>38441</v>
      </c>
      <c r="B5448">
        <v>1.2943</v>
      </c>
    </row>
    <row r="5449" spans="1:2" x14ac:dyDescent="0.2">
      <c r="A5449" s="57">
        <v>38440</v>
      </c>
      <c r="B5449">
        <v>1.2926</v>
      </c>
    </row>
    <row r="5450" spans="1:2" x14ac:dyDescent="0.2">
      <c r="A5450" s="57">
        <v>38439</v>
      </c>
    </row>
    <row r="5451" spans="1:2" x14ac:dyDescent="0.2">
      <c r="A5451" s="57">
        <v>38438</v>
      </c>
    </row>
    <row r="5452" spans="1:2" x14ac:dyDescent="0.2">
      <c r="A5452" s="57">
        <v>38437</v>
      </c>
    </row>
    <row r="5453" spans="1:2" x14ac:dyDescent="0.2">
      <c r="A5453" s="57">
        <v>38436</v>
      </c>
    </row>
    <row r="5454" spans="1:2" x14ac:dyDescent="0.2">
      <c r="A5454" s="57">
        <v>38435</v>
      </c>
      <c r="B5454">
        <v>1.2982</v>
      </c>
    </row>
    <row r="5455" spans="1:2" x14ac:dyDescent="0.2">
      <c r="A5455" s="57">
        <v>38434</v>
      </c>
      <c r="B5455">
        <v>1.3049999999999999</v>
      </c>
    </row>
    <row r="5456" spans="1:2" x14ac:dyDescent="0.2">
      <c r="A5456" s="57">
        <v>38433</v>
      </c>
      <c r="B5456">
        <v>1.3174999999999999</v>
      </c>
    </row>
    <row r="5457" spans="1:2" x14ac:dyDescent="0.2">
      <c r="A5457" s="57">
        <v>38432</v>
      </c>
      <c r="B5457">
        <v>1.3199000000000001</v>
      </c>
    </row>
    <row r="5458" spans="1:2" x14ac:dyDescent="0.2">
      <c r="A5458" s="57">
        <v>38431</v>
      </c>
    </row>
    <row r="5459" spans="1:2" x14ac:dyDescent="0.2">
      <c r="A5459" s="57">
        <v>38430</v>
      </c>
    </row>
    <row r="5460" spans="1:2" x14ac:dyDescent="0.2">
      <c r="A5460" s="57">
        <v>38429</v>
      </c>
      <c r="B5460">
        <v>1.3279000000000001</v>
      </c>
    </row>
    <row r="5461" spans="1:2" x14ac:dyDescent="0.2">
      <c r="A5461" s="57">
        <v>38428</v>
      </c>
      <c r="B5461">
        <v>1.3378000000000001</v>
      </c>
    </row>
    <row r="5462" spans="1:2" x14ac:dyDescent="0.2">
      <c r="A5462" s="57">
        <v>38427</v>
      </c>
      <c r="B5462">
        <v>1.3372999999999999</v>
      </c>
    </row>
    <row r="5463" spans="1:2" x14ac:dyDescent="0.2">
      <c r="A5463" s="57">
        <v>38426</v>
      </c>
      <c r="B5463">
        <v>1.3383</v>
      </c>
    </row>
    <row r="5464" spans="1:2" x14ac:dyDescent="0.2">
      <c r="A5464" s="57">
        <v>38425</v>
      </c>
      <c r="B5464">
        <v>1.3371999999999999</v>
      </c>
    </row>
    <row r="5465" spans="1:2" x14ac:dyDescent="0.2">
      <c r="A5465" s="57">
        <v>38424</v>
      </c>
    </row>
    <row r="5466" spans="1:2" x14ac:dyDescent="0.2">
      <c r="A5466" s="57">
        <v>38423</v>
      </c>
    </row>
    <row r="5467" spans="1:2" x14ac:dyDescent="0.2">
      <c r="A5467" s="57">
        <v>38422</v>
      </c>
      <c r="B5467">
        <v>1.3415999999999999</v>
      </c>
    </row>
    <row r="5468" spans="1:2" x14ac:dyDescent="0.2">
      <c r="A5468" s="57">
        <v>38421</v>
      </c>
      <c r="B5468">
        <v>1.3409</v>
      </c>
    </row>
    <row r="5469" spans="1:2" x14ac:dyDescent="0.2">
      <c r="A5469" s="57">
        <v>38420</v>
      </c>
      <c r="B5469">
        <v>1.3346</v>
      </c>
    </row>
    <row r="5470" spans="1:2" x14ac:dyDescent="0.2">
      <c r="A5470" s="57">
        <v>38419</v>
      </c>
      <c r="B5470">
        <v>1.3246</v>
      </c>
    </row>
    <row r="5471" spans="1:2" x14ac:dyDescent="0.2">
      <c r="A5471" s="57">
        <v>38418</v>
      </c>
      <c r="B5471">
        <v>1.3197000000000001</v>
      </c>
    </row>
    <row r="5472" spans="1:2" x14ac:dyDescent="0.2">
      <c r="A5472" s="57">
        <v>38417</v>
      </c>
    </row>
    <row r="5473" spans="1:2" x14ac:dyDescent="0.2">
      <c r="A5473" s="57">
        <v>38416</v>
      </c>
    </row>
    <row r="5474" spans="1:2" x14ac:dyDescent="0.2">
      <c r="A5474" s="57">
        <v>38415</v>
      </c>
      <c r="B5474">
        <v>1.3115000000000001</v>
      </c>
    </row>
    <row r="5475" spans="1:2" x14ac:dyDescent="0.2">
      <c r="A5475" s="57">
        <v>38414</v>
      </c>
      <c r="B5475">
        <v>1.3144</v>
      </c>
    </row>
    <row r="5476" spans="1:2" x14ac:dyDescent="0.2">
      <c r="A5476" s="57">
        <v>38413</v>
      </c>
      <c r="B5476">
        <v>1.3101</v>
      </c>
    </row>
    <row r="5477" spans="1:2" x14ac:dyDescent="0.2">
      <c r="A5477" s="57">
        <v>38412</v>
      </c>
      <c r="B5477">
        <v>1.3216000000000001</v>
      </c>
    </row>
    <row r="5478" spans="1:2" x14ac:dyDescent="0.2">
      <c r="A5478" s="57">
        <v>38411</v>
      </c>
      <c r="B5478">
        <v>1.3257000000000001</v>
      </c>
    </row>
    <row r="5479" spans="1:2" x14ac:dyDescent="0.2">
      <c r="A5479" s="57">
        <v>38410</v>
      </c>
    </row>
    <row r="5480" spans="1:2" x14ac:dyDescent="0.2">
      <c r="A5480" s="57">
        <v>38409</v>
      </c>
    </row>
    <row r="5481" spans="1:2" x14ac:dyDescent="0.2">
      <c r="A5481" s="57">
        <v>38408</v>
      </c>
      <c r="B5481">
        <v>1.3165</v>
      </c>
    </row>
    <row r="5482" spans="1:2" x14ac:dyDescent="0.2">
      <c r="A5482" s="57">
        <v>38407</v>
      </c>
      <c r="B5482">
        <v>1.3260000000000001</v>
      </c>
    </row>
    <row r="5483" spans="1:2" x14ac:dyDescent="0.2">
      <c r="A5483" s="57">
        <v>38406</v>
      </c>
      <c r="B5483">
        <v>1.3203</v>
      </c>
    </row>
    <row r="5484" spans="1:2" x14ac:dyDescent="0.2">
      <c r="A5484" s="57">
        <v>38405</v>
      </c>
      <c r="B5484">
        <v>1.3192999999999999</v>
      </c>
    </row>
    <row r="5485" spans="1:2" x14ac:dyDescent="0.2">
      <c r="A5485" s="57">
        <v>38404</v>
      </c>
      <c r="B5485">
        <v>1.3055000000000001</v>
      </c>
    </row>
    <row r="5486" spans="1:2" x14ac:dyDescent="0.2">
      <c r="A5486" s="57">
        <v>38403</v>
      </c>
    </row>
    <row r="5487" spans="1:2" x14ac:dyDescent="0.2">
      <c r="A5487" s="57">
        <v>38402</v>
      </c>
    </row>
    <row r="5488" spans="1:2" x14ac:dyDescent="0.2">
      <c r="A5488" s="57">
        <v>38401</v>
      </c>
      <c r="B5488">
        <v>1.3039000000000001</v>
      </c>
    </row>
    <row r="5489" spans="1:2" x14ac:dyDescent="0.2">
      <c r="A5489" s="57">
        <v>38400</v>
      </c>
      <c r="B5489">
        <v>1.3041</v>
      </c>
    </row>
    <row r="5490" spans="1:2" x14ac:dyDescent="0.2">
      <c r="A5490" s="57">
        <v>38399</v>
      </c>
      <c r="B5490">
        <v>1.304</v>
      </c>
    </row>
    <row r="5491" spans="1:2" x14ac:dyDescent="0.2">
      <c r="A5491" s="57">
        <v>38398</v>
      </c>
      <c r="B5491">
        <v>1.3016000000000001</v>
      </c>
    </row>
    <row r="5492" spans="1:2" x14ac:dyDescent="0.2">
      <c r="A5492" s="57">
        <v>38397</v>
      </c>
      <c r="B5492">
        <v>1.2967</v>
      </c>
    </row>
    <row r="5493" spans="1:2" x14ac:dyDescent="0.2">
      <c r="A5493" s="57">
        <v>38396</v>
      </c>
    </row>
    <row r="5494" spans="1:2" x14ac:dyDescent="0.2">
      <c r="A5494" s="57">
        <v>38395</v>
      </c>
    </row>
    <row r="5495" spans="1:2" x14ac:dyDescent="0.2">
      <c r="A5495" s="57">
        <v>38394</v>
      </c>
      <c r="B5495">
        <v>1.2855000000000001</v>
      </c>
    </row>
    <row r="5496" spans="1:2" x14ac:dyDescent="0.2">
      <c r="A5496" s="57">
        <v>38393</v>
      </c>
      <c r="B5496">
        <v>1.2777000000000001</v>
      </c>
    </row>
    <row r="5497" spans="1:2" x14ac:dyDescent="0.2">
      <c r="A5497" s="57">
        <v>38392</v>
      </c>
      <c r="B5497">
        <v>1.2762</v>
      </c>
    </row>
    <row r="5498" spans="1:2" x14ac:dyDescent="0.2">
      <c r="A5498" s="57">
        <v>38391</v>
      </c>
      <c r="B5498">
        <v>1.2764</v>
      </c>
    </row>
    <row r="5499" spans="1:2" x14ac:dyDescent="0.2">
      <c r="A5499" s="57">
        <v>38390</v>
      </c>
      <c r="B5499">
        <v>1.2844</v>
      </c>
    </row>
    <row r="5500" spans="1:2" x14ac:dyDescent="0.2">
      <c r="A5500" s="57">
        <v>38389</v>
      </c>
    </row>
    <row r="5501" spans="1:2" x14ac:dyDescent="0.2">
      <c r="A5501" s="57">
        <v>38388</v>
      </c>
    </row>
    <row r="5502" spans="1:2" x14ac:dyDescent="0.2">
      <c r="A5502" s="57">
        <v>38387</v>
      </c>
      <c r="B5502">
        <v>1.2958000000000001</v>
      </c>
    </row>
    <row r="5503" spans="1:2" x14ac:dyDescent="0.2">
      <c r="A5503" s="57">
        <v>38386</v>
      </c>
      <c r="B5503">
        <v>1.3001</v>
      </c>
    </row>
    <row r="5504" spans="1:2" x14ac:dyDescent="0.2">
      <c r="A5504" s="57">
        <v>38385</v>
      </c>
      <c r="B5504">
        <v>1.3061</v>
      </c>
    </row>
    <row r="5505" spans="1:2" x14ac:dyDescent="0.2">
      <c r="A5505" s="57">
        <v>38384</v>
      </c>
      <c r="B5505">
        <v>1.3027</v>
      </c>
    </row>
    <row r="5506" spans="1:2" x14ac:dyDescent="0.2">
      <c r="A5506" s="57">
        <v>38383</v>
      </c>
      <c r="B5506">
        <v>1.3035000000000001</v>
      </c>
    </row>
    <row r="5507" spans="1:2" x14ac:dyDescent="0.2">
      <c r="A5507" s="57">
        <v>38382</v>
      </c>
    </row>
    <row r="5508" spans="1:2" x14ac:dyDescent="0.2">
      <c r="A5508" s="57">
        <v>38381</v>
      </c>
    </row>
    <row r="5509" spans="1:2" x14ac:dyDescent="0.2">
      <c r="A5509" s="57">
        <v>38380</v>
      </c>
      <c r="B5509">
        <v>1.3035000000000001</v>
      </c>
    </row>
    <row r="5510" spans="1:2" x14ac:dyDescent="0.2">
      <c r="A5510" s="57">
        <v>38379</v>
      </c>
      <c r="B5510">
        <v>1.3026</v>
      </c>
    </row>
    <row r="5511" spans="1:2" x14ac:dyDescent="0.2">
      <c r="A5511" s="57">
        <v>38378</v>
      </c>
      <c r="B5511">
        <v>1.3005</v>
      </c>
    </row>
    <row r="5512" spans="1:2" x14ac:dyDescent="0.2">
      <c r="A5512" s="57">
        <v>38377</v>
      </c>
      <c r="B5512">
        <v>1.3025</v>
      </c>
    </row>
    <row r="5513" spans="1:2" x14ac:dyDescent="0.2">
      <c r="A5513" s="57">
        <v>38376</v>
      </c>
      <c r="B5513">
        <v>1.3065</v>
      </c>
    </row>
    <row r="5514" spans="1:2" x14ac:dyDescent="0.2">
      <c r="A5514" s="57">
        <v>38375</v>
      </c>
    </row>
    <row r="5515" spans="1:2" x14ac:dyDescent="0.2">
      <c r="A5515" s="57">
        <v>38374</v>
      </c>
    </row>
    <row r="5516" spans="1:2" x14ac:dyDescent="0.2">
      <c r="A5516" s="57">
        <v>38373</v>
      </c>
      <c r="B5516">
        <v>1.2963</v>
      </c>
    </row>
    <row r="5517" spans="1:2" x14ac:dyDescent="0.2">
      <c r="A5517" s="57">
        <v>38372</v>
      </c>
      <c r="B5517">
        <v>1.2936000000000001</v>
      </c>
    </row>
    <row r="5518" spans="1:2" x14ac:dyDescent="0.2">
      <c r="A5518" s="57">
        <v>38371</v>
      </c>
      <c r="B5518">
        <v>1.3083</v>
      </c>
    </row>
    <row r="5519" spans="1:2" x14ac:dyDescent="0.2">
      <c r="A5519" s="57">
        <v>38370</v>
      </c>
      <c r="B5519">
        <v>1.306</v>
      </c>
    </row>
    <row r="5520" spans="1:2" x14ac:dyDescent="0.2">
      <c r="A5520" s="57">
        <v>38369</v>
      </c>
      <c r="B5520">
        <v>1.3085</v>
      </c>
    </row>
    <row r="5521" spans="1:2" x14ac:dyDescent="0.2">
      <c r="A5521" s="57">
        <v>38368</v>
      </c>
    </row>
    <row r="5522" spans="1:2" x14ac:dyDescent="0.2">
      <c r="A5522" s="57">
        <v>38367</v>
      </c>
    </row>
    <row r="5523" spans="1:2" x14ac:dyDescent="0.2">
      <c r="A5523" s="57">
        <v>38366</v>
      </c>
      <c r="B5523">
        <v>1.3090999999999999</v>
      </c>
    </row>
    <row r="5524" spans="1:2" x14ac:dyDescent="0.2">
      <c r="A5524" s="57">
        <v>38365</v>
      </c>
      <c r="B5524">
        <v>1.3231999999999999</v>
      </c>
    </row>
    <row r="5525" spans="1:2" x14ac:dyDescent="0.2">
      <c r="A5525" s="57">
        <v>38364</v>
      </c>
      <c r="B5525">
        <v>1.3139000000000001</v>
      </c>
    </row>
    <row r="5526" spans="1:2" x14ac:dyDescent="0.2">
      <c r="A5526" s="57">
        <v>38363</v>
      </c>
      <c r="B5526">
        <v>1.3143</v>
      </c>
    </row>
    <row r="5527" spans="1:2" x14ac:dyDescent="0.2">
      <c r="A5527" s="57">
        <v>38362</v>
      </c>
      <c r="B5527">
        <v>1.3103</v>
      </c>
    </row>
    <row r="5528" spans="1:2" x14ac:dyDescent="0.2">
      <c r="A5528" s="57">
        <v>38361</v>
      </c>
    </row>
    <row r="5529" spans="1:2" x14ac:dyDescent="0.2">
      <c r="A5529" s="57">
        <v>38360</v>
      </c>
    </row>
    <row r="5530" spans="1:2" x14ac:dyDescent="0.2">
      <c r="A5530" s="57">
        <v>38359</v>
      </c>
      <c r="B5530">
        <v>1.32</v>
      </c>
    </row>
    <row r="5531" spans="1:2" x14ac:dyDescent="0.2">
      <c r="A5531" s="57">
        <v>38358</v>
      </c>
      <c r="B5531">
        <v>1.3183</v>
      </c>
    </row>
    <row r="5532" spans="1:2" x14ac:dyDescent="0.2">
      <c r="A5532" s="57">
        <v>38357</v>
      </c>
      <c r="B5532">
        <v>1.3224</v>
      </c>
    </row>
    <row r="5533" spans="1:2" x14ac:dyDescent="0.2">
      <c r="A5533" s="57">
        <v>38356</v>
      </c>
      <c r="B5533">
        <v>1.3365</v>
      </c>
    </row>
    <row r="5534" spans="1:2" x14ac:dyDescent="0.2">
      <c r="A5534" s="57">
        <v>38355</v>
      </c>
      <c r="B5534">
        <v>1.3507</v>
      </c>
    </row>
    <row r="5535" spans="1:2" x14ac:dyDescent="0.2">
      <c r="A5535" s="57">
        <v>38354</v>
      </c>
    </row>
    <row r="5536" spans="1:2" x14ac:dyDescent="0.2">
      <c r="A5536" s="57">
        <v>38353</v>
      </c>
    </row>
    <row r="5537" spans="1:2" x14ac:dyDescent="0.2">
      <c r="A5537" s="57">
        <v>38352</v>
      </c>
      <c r="B5537">
        <v>1.3621000000000001</v>
      </c>
    </row>
    <row r="5538" spans="1:2" x14ac:dyDescent="0.2">
      <c r="A5538" s="57">
        <v>38351</v>
      </c>
      <c r="B5538">
        <v>1.3604000000000001</v>
      </c>
    </row>
    <row r="5539" spans="1:2" x14ac:dyDescent="0.2">
      <c r="A5539" s="57">
        <v>38350</v>
      </c>
      <c r="B5539">
        <v>1.3608</v>
      </c>
    </row>
    <row r="5540" spans="1:2" x14ac:dyDescent="0.2">
      <c r="A5540" s="57">
        <v>38349</v>
      </c>
      <c r="B5540">
        <v>1.3633</v>
      </c>
    </row>
    <row r="5541" spans="1:2" x14ac:dyDescent="0.2">
      <c r="A5541" s="57">
        <v>38348</v>
      </c>
      <c r="B5541">
        <v>1.3527</v>
      </c>
    </row>
    <row r="5542" spans="1:2" x14ac:dyDescent="0.2">
      <c r="A5542" s="57">
        <v>38347</v>
      </c>
    </row>
    <row r="5543" spans="1:2" x14ac:dyDescent="0.2">
      <c r="A5543" s="57">
        <v>38346</v>
      </c>
    </row>
    <row r="5544" spans="1:2" x14ac:dyDescent="0.2">
      <c r="A5544" s="57">
        <v>38345</v>
      </c>
      <c r="B5544">
        <v>1.3542000000000001</v>
      </c>
    </row>
    <row r="5545" spans="1:2" x14ac:dyDescent="0.2">
      <c r="A5545" s="57">
        <v>38344</v>
      </c>
      <c r="B5545">
        <v>1.3455999999999999</v>
      </c>
    </row>
    <row r="5546" spans="1:2" x14ac:dyDescent="0.2">
      <c r="A5546" s="57">
        <v>38343</v>
      </c>
      <c r="B5546">
        <v>1.3384</v>
      </c>
    </row>
    <row r="5547" spans="1:2" x14ac:dyDescent="0.2">
      <c r="A5547" s="57">
        <v>38342</v>
      </c>
      <c r="B5547">
        <v>1.3393999999999999</v>
      </c>
    </row>
    <row r="5548" spans="1:2" x14ac:dyDescent="0.2">
      <c r="A5548" s="57">
        <v>38341</v>
      </c>
      <c r="B5548">
        <v>1.3378000000000001</v>
      </c>
    </row>
    <row r="5549" spans="1:2" x14ac:dyDescent="0.2">
      <c r="A5549" s="57">
        <v>38340</v>
      </c>
    </row>
    <row r="5550" spans="1:2" x14ac:dyDescent="0.2">
      <c r="A5550" s="57">
        <v>38339</v>
      </c>
    </row>
    <row r="5551" spans="1:2" x14ac:dyDescent="0.2">
      <c r="A5551" s="57">
        <v>38338</v>
      </c>
      <c r="B5551">
        <v>1.3264</v>
      </c>
    </row>
    <row r="5552" spans="1:2" x14ac:dyDescent="0.2">
      <c r="A5552" s="57">
        <v>38337</v>
      </c>
      <c r="B5552">
        <v>1.3401000000000001</v>
      </c>
    </row>
    <row r="5553" spans="1:2" x14ac:dyDescent="0.2">
      <c r="A5553" s="57">
        <v>38336</v>
      </c>
      <c r="B5553">
        <v>1.3383</v>
      </c>
    </row>
    <row r="5554" spans="1:2" x14ac:dyDescent="0.2">
      <c r="A5554" s="57">
        <v>38335</v>
      </c>
      <c r="B5554">
        <v>1.3317000000000001</v>
      </c>
    </row>
    <row r="5555" spans="1:2" x14ac:dyDescent="0.2">
      <c r="A5555" s="57">
        <v>38334</v>
      </c>
      <c r="B5555">
        <v>1.3268</v>
      </c>
    </row>
    <row r="5556" spans="1:2" x14ac:dyDescent="0.2">
      <c r="A5556" s="57">
        <v>38333</v>
      </c>
    </row>
    <row r="5557" spans="1:2" x14ac:dyDescent="0.2">
      <c r="A5557" s="57">
        <v>38332</v>
      </c>
    </row>
    <row r="5558" spans="1:2" x14ac:dyDescent="0.2">
      <c r="A5558" s="57">
        <v>38331</v>
      </c>
      <c r="B5558">
        <v>1.3190999999999999</v>
      </c>
    </row>
    <row r="5559" spans="1:2" x14ac:dyDescent="0.2">
      <c r="A5559" s="57">
        <v>38330</v>
      </c>
      <c r="B5559">
        <v>1.3305</v>
      </c>
    </row>
    <row r="5560" spans="1:2" x14ac:dyDescent="0.2">
      <c r="A5560" s="57">
        <v>38329</v>
      </c>
      <c r="B5560">
        <v>1.33</v>
      </c>
    </row>
    <row r="5561" spans="1:2" x14ac:dyDescent="0.2">
      <c r="A5561" s="57">
        <v>38328</v>
      </c>
      <c r="B5561">
        <v>1.3455999999999999</v>
      </c>
    </row>
    <row r="5562" spans="1:2" x14ac:dyDescent="0.2">
      <c r="A5562" s="57">
        <v>38327</v>
      </c>
      <c r="B5562">
        <v>1.3434999999999999</v>
      </c>
    </row>
    <row r="5563" spans="1:2" x14ac:dyDescent="0.2">
      <c r="A5563" s="57">
        <v>38326</v>
      </c>
    </row>
    <row r="5564" spans="1:2" x14ac:dyDescent="0.2">
      <c r="A5564" s="57">
        <v>38325</v>
      </c>
    </row>
    <row r="5565" spans="1:2" x14ac:dyDescent="0.2">
      <c r="A5565" s="57">
        <v>38324</v>
      </c>
      <c r="B5565">
        <v>1.33</v>
      </c>
    </row>
    <row r="5566" spans="1:2" x14ac:dyDescent="0.2">
      <c r="A5566" s="57">
        <v>38323</v>
      </c>
      <c r="B5566">
        <v>1.3313999999999999</v>
      </c>
    </row>
    <row r="5567" spans="1:2" x14ac:dyDescent="0.2">
      <c r="A5567" s="57">
        <v>38322</v>
      </c>
      <c r="B5567">
        <v>1.3293999999999999</v>
      </c>
    </row>
    <row r="5568" spans="1:2" x14ac:dyDescent="0.2">
      <c r="A5568" s="57">
        <v>38321</v>
      </c>
      <c r="B5568">
        <v>1.3294999999999999</v>
      </c>
    </row>
    <row r="5569" spans="1:2" x14ac:dyDescent="0.2">
      <c r="A5569" s="57">
        <v>38320</v>
      </c>
      <c r="B5569">
        <v>1.3247</v>
      </c>
    </row>
    <row r="5570" spans="1:2" x14ac:dyDescent="0.2">
      <c r="A5570" s="57">
        <v>38319</v>
      </c>
    </row>
    <row r="5571" spans="1:2" x14ac:dyDescent="0.2">
      <c r="A5571" s="57">
        <v>38318</v>
      </c>
    </row>
    <row r="5572" spans="1:2" x14ac:dyDescent="0.2">
      <c r="A5572" s="57">
        <v>38317</v>
      </c>
      <c r="B5572">
        <v>1.3238000000000001</v>
      </c>
    </row>
    <row r="5573" spans="1:2" x14ac:dyDescent="0.2">
      <c r="A5573" s="57">
        <v>38316</v>
      </c>
      <c r="B5573">
        <v>1.3212999999999999</v>
      </c>
    </row>
    <row r="5574" spans="1:2" x14ac:dyDescent="0.2">
      <c r="A5574" s="57">
        <v>38315</v>
      </c>
      <c r="B5574">
        <v>1.3146</v>
      </c>
    </row>
    <row r="5575" spans="1:2" x14ac:dyDescent="0.2">
      <c r="A5575" s="57">
        <v>38314</v>
      </c>
      <c r="B5575">
        <v>1.3089</v>
      </c>
    </row>
    <row r="5576" spans="1:2" x14ac:dyDescent="0.2">
      <c r="A5576" s="57">
        <v>38313</v>
      </c>
      <c r="B5576">
        <v>1.3032999999999999</v>
      </c>
    </row>
    <row r="5577" spans="1:2" x14ac:dyDescent="0.2">
      <c r="A5577" s="57">
        <v>38312</v>
      </c>
    </row>
    <row r="5578" spans="1:2" x14ac:dyDescent="0.2">
      <c r="A5578" s="57">
        <v>38311</v>
      </c>
    </row>
    <row r="5579" spans="1:2" x14ac:dyDescent="0.2">
      <c r="A5579" s="57">
        <v>38310</v>
      </c>
      <c r="B5579">
        <v>1.302</v>
      </c>
    </row>
    <row r="5580" spans="1:2" x14ac:dyDescent="0.2">
      <c r="A5580" s="57">
        <v>38309</v>
      </c>
      <c r="B5580">
        <v>1.3024</v>
      </c>
    </row>
    <row r="5581" spans="1:2" x14ac:dyDescent="0.2">
      <c r="A5581" s="57">
        <v>38308</v>
      </c>
      <c r="B5581">
        <v>1.3026</v>
      </c>
    </row>
    <row r="5582" spans="1:2" x14ac:dyDescent="0.2">
      <c r="A5582" s="57">
        <v>38307</v>
      </c>
      <c r="B5582">
        <v>1.2970999999999999</v>
      </c>
    </row>
    <row r="5583" spans="1:2" x14ac:dyDescent="0.2">
      <c r="A5583" s="57">
        <v>38306</v>
      </c>
      <c r="B5583">
        <v>1.2955000000000001</v>
      </c>
    </row>
    <row r="5584" spans="1:2" x14ac:dyDescent="0.2">
      <c r="A5584" s="57">
        <v>38305</v>
      </c>
    </row>
    <row r="5585" spans="1:2" x14ac:dyDescent="0.2">
      <c r="A5585" s="57">
        <v>38304</v>
      </c>
    </row>
    <row r="5586" spans="1:2" x14ac:dyDescent="0.2">
      <c r="A5586" s="57">
        <v>38303</v>
      </c>
      <c r="B5586">
        <v>1.2921</v>
      </c>
    </row>
    <row r="5587" spans="1:2" x14ac:dyDescent="0.2">
      <c r="A5587" s="57">
        <v>38302</v>
      </c>
      <c r="B5587">
        <v>1.2889999999999999</v>
      </c>
    </row>
    <row r="5588" spans="1:2" x14ac:dyDescent="0.2">
      <c r="A5588" s="57">
        <v>38301</v>
      </c>
      <c r="B5588">
        <v>1.2977000000000001</v>
      </c>
    </row>
    <row r="5589" spans="1:2" x14ac:dyDescent="0.2">
      <c r="A5589" s="57">
        <v>38300</v>
      </c>
      <c r="B5589">
        <v>1.2910999999999999</v>
      </c>
    </row>
    <row r="5590" spans="1:2" x14ac:dyDescent="0.2">
      <c r="A5590" s="57">
        <v>38299</v>
      </c>
      <c r="B5590">
        <v>1.2917000000000001</v>
      </c>
    </row>
    <row r="5591" spans="1:2" x14ac:dyDescent="0.2">
      <c r="A5591" s="57">
        <v>38298</v>
      </c>
    </row>
    <row r="5592" spans="1:2" x14ac:dyDescent="0.2">
      <c r="A5592" s="57">
        <v>38297</v>
      </c>
    </row>
    <row r="5593" spans="1:2" x14ac:dyDescent="0.2">
      <c r="A5593" s="57">
        <v>38296</v>
      </c>
      <c r="B5593">
        <v>1.2856000000000001</v>
      </c>
    </row>
    <row r="5594" spans="1:2" x14ac:dyDescent="0.2">
      <c r="A5594" s="57">
        <v>38295</v>
      </c>
      <c r="B5594">
        <v>1.2874000000000001</v>
      </c>
    </row>
    <row r="5595" spans="1:2" x14ac:dyDescent="0.2">
      <c r="A5595" s="57">
        <v>38294</v>
      </c>
      <c r="B5595">
        <v>1.2754000000000001</v>
      </c>
    </row>
    <row r="5596" spans="1:2" x14ac:dyDescent="0.2">
      <c r="A5596" s="57">
        <v>38293</v>
      </c>
      <c r="B5596">
        <v>1.2705</v>
      </c>
    </row>
    <row r="5597" spans="1:2" x14ac:dyDescent="0.2">
      <c r="A5597" s="57">
        <v>38292</v>
      </c>
      <c r="B5597">
        <v>1.2747999999999999</v>
      </c>
    </row>
    <row r="5598" spans="1:2" x14ac:dyDescent="0.2">
      <c r="A5598" s="57">
        <v>38291</v>
      </c>
    </row>
    <row r="5599" spans="1:2" x14ac:dyDescent="0.2">
      <c r="A5599" s="57">
        <v>38290</v>
      </c>
    </row>
    <row r="5600" spans="1:2" x14ac:dyDescent="0.2">
      <c r="A5600" s="57">
        <v>38289</v>
      </c>
      <c r="B5600">
        <v>1.2737000000000001</v>
      </c>
    </row>
    <row r="5601" spans="1:2" x14ac:dyDescent="0.2">
      <c r="A5601" s="57">
        <v>38288</v>
      </c>
      <c r="B5601">
        <v>1.2710999999999999</v>
      </c>
    </row>
    <row r="5602" spans="1:2" x14ac:dyDescent="0.2">
      <c r="A5602" s="57">
        <v>38287</v>
      </c>
      <c r="B5602">
        <v>1.2791999999999999</v>
      </c>
    </row>
    <row r="5603" spans="1:2" x14ac:dyDescent="0.2">
      <c r="A5603" s="57">
        <v>38286</v>
      </c>
      <c r="B5603">
        <v>1.2784</v>
      </c>
    </row>
    <row r="5604" spans="1:2" x14ac:dyDescent="0.2">
      <c r="A5604" s="57">
        <v>38285</v>
      </c>
      <c r="B5604">
        <v>1.2791999999999999</v>
      </c>
    </row>
    <row r="5605" spans="1:2" x14ac:dyDescent="0.2">
      <c r="A5605" s="57">
        <v>38284</v>
      </c>
    </row>
    <row r="5606" spans="1:2" x14ac:dyDescent="0.2">
      <c r="A5606" s="57">
        <v>38283</v>
      </c>
    </row>
    <row r="5607" spans="1:2" x14ac:dyDescent="0.2">
      <c r="A5607" s="57">
        <v>38282</v>
      </c>
      <c r="B5607">
        <v>1.2605999999999999</v>
      </c>
    </row>
    <row r="5608" spans="1:2" x14ac:dyDescent="0.2">
      <c r="A5608" s="57">
        <v>38281</v>
      </c>
      <c r="B5608">
        <v>1.2605999999999999</v>
      </c>
    </row>
    <row r="5609" spans="1:2" x14ac:dyDescent="0.2">
      <c r="A5609" s="57">
        <v>38280</v>
      </c>
      <c r="B5609">
        <v>1.2589999999999999</v>
      </c>
    </row>
    <row r="5610" spans="1:2" x14ac:dyDescent="0.2">
      <c r="A5610" s="57">
        <v>38279</v>
      </c>
      <c r="B5610">
        <v>1.2508999999999999</v>
      </c>
    </row>
    <row r="5611" spans="1:2" x14ac:dyDescent="0.2">
      <c r="A5611" s="57">
        <v>38278</v>
      </c>
      <c r="B5611">
        <v>1.2474000000000001</v>
      </c>
    </row>
    <row r="5612" spans="1:2" x14ac:dyDescent="0.2">
      <c r="A5612" s="57">
        <v>38277</v>
      </c>
    </row>
    <row r="5613" spans="1:2" x14ac:dyDescent="0.2">
      <c r="A5613" s="57">
        <v>38276</v>
      </c>
    </row>
    <row r="5614" spans="1:2" x14ac:dyDescent="0.2">
      <c r="A5614" s="57">
        <v>38275</v>
      </c>
      <c r="B5614">
        <v>1.2414000000000001</v>
      </c>
    </row>
    <row r="5615" spans="1:2" x14ac:dyDescent="0.2">
      <c r="A5615" s="57">
        <v>38274</v>
      </c>
      <c r="B5615">
        <v>1.2377</v>
      </c>
    </row>
    <row r="5616" spans="1:2" x14ac:dyDescent="0.2">
      <c r="A5616" s="57">
        <v>38273</v>
      </c>
      <c r="B5616">
        <v>1.2266999999999999</v>
      </c>
    </row>
    <row r="5617" spans="1:2" x14ac:dyDescent="0.2">
      <c r="A5617" s="57">
        <v>38272</v>
      </c>
      <c r="B5617">
        <v>1.2312000000000001</v>
      </c>
    </row>
    <row r="5618" spans="1:2" x14ac:dyDescent="0.2">
      <c r="A5618" s="57">
        <v>38271</v>
      </c>
      <c r="B5618">
        <v>1.2392000000000001</v>
      </c>
    </row>
    <row r="5619" spans="1:2" x14ac:dyDescent="0.2">
      <c r="A5619" s="57">
        <v>38270</v>
      </c>
    </row>
    <row r="5620" spans="1:2" x14ac:dyDescent="0.2">
      <c r="A5620" s="57">
        <v>38269</v>
      </c>
    </row>
    <row r="5621" spans="1:2" x14ac:dyDescent="0.2">
      <c r="A5621" s="57">
        <v>38268</v>
      </c>
      <c r="B5621">
        <v>1.2315</v>
      </c>
    </row>
    <row r="5622" spans="1:2" x14ac:dyDescent="0.2">
      <c r="A5622" s="57">
        <v>38267</v>
      </c>
      <c r="B5622">
        <v>1.2301</v>
      </c>
    </row>
    <row r="5623" spans="1:2" x14ac:dyDescent="0.2">
      <c r="A5623" s="57">
        <v>38266</v>
      </c>
      <c r="B5623">
        <v>1.2282</v>
      </c>
    </row>
    <row r="5624" spans="1:2" x14ac:dyDescent="0.2">
      <c r="A5624" s="57">
        <v>38265</v>
      </c>
      <c r="B5624">
        <v>1.2303999999999999</v>
      </c>
    </row>
    <row r="5625" spans="1:2" x14ac:dyDescent="0.2">
      <c r="A5625" s="57">
        <v>38264</v>
      </c>
      <c r="B5625">
        <v>1.2304999999999999</v>
      </c>
    </row>
    <row r="5626" spans="1:2" x14ac:dyDescent="0.2">
      <c r="A5626" s="57">
        <v>38263</v>
      </c>
    </row>
    <row r="5627" spans="1:2" x14ac:dyDescent="0.2">
      <c r="A5627" s="57">
        <v>38262</v>
      </c>
    </row>
    <row r="5628" spans="1:2" x14ac:dyDescent="0.2">
      <c r="A5628" s="57">
        <v>38261</v>
      </c>
      <c r="B5628">
        <v>1.2413000000000001</v>
      </c>
    </row>
    <row r="5629" spans="1:2" x14ac:dyDescent="0.2">
      <c r="A5629" s="57">
        <v>38260</v>
      </c>
      <c r="B5629">
        <v>1.2408999999999999</v>
      </c>
    </row>
    <row r="5630" spans="1:2" x14ac:dyDescent="0.2">
      <c r="A5630" s="57">
        <v>38259</v>
      </c>
      <c r="B5630">
        <v>1.2323</v>
      </c>
    </row>
    <row r="5631" spans="1:2" x14ac:dyDescent="0.2">
      <c r="A5631" s="57">
        <v>38258</v>
      </c>
      <c r="B5631">
        <v>1.2335</v>
      </c>
    </row>
    <row r="5632" spans="1:2" x14ac:dyDescent="0.2">
      <c r="A5632" s="57">
        <v>38257</v>
      </c>
      <c r="B5632">
        <v>1.2254</v>
      </c>
    </row>
    <row r="5633" spans="1:2" x14ac:dyDescent="0.2">
      <c r="A5633" s="57">
        <v>38256</v>
      </c>
    </row>
    <row r="5634" spans="1:2" x14ac:dyDescent="0.2">
      <c r="A5634" s="57">
        <v>38255</v>
      </c>
    </row>
    <row r="5635" spans="1:2" x14ac:dyDescent="0.2">
      <c r="A5635" s="57">
        <v>38254</v>
      </c>
      <c r="B5635">
        <v>1.2309000000000001</v>
      </c>
    </row>
    <row r="5636" spans="1:2" x14ac:dyDescent="0.2">
      <c r="A5636" s="57">
        <v>38253</v>
      </c>
      <c r="B5636">
        <v>1.2315</v>
      </c>
    </row>
    <row r="5637" spans="1:2" x14ac:dyDescent="0.2">
      <c r="A5637" s="57">
        <v>38252</v>
      </c>
      <c r="B5637">
        <v>1.2244999999999999</v>
      </c>
    </row>
    <row r="5638" spans="1:2" x14ac:dyDescent="0.2">
      <c r="A5638" s="57">
        <v>38251</v>
      </c>
      <c r="B5638">
        <v>1.2276</v>
      </c>
    </row>
    <row r="5639" spans="1:2" x14ac:dyDescent="0.2">
      <c r="A5639" s="57">
        <v>38250</v>
      </c>
      <c r="B5639">
        <v>1.2132000000000001</v>
      </c>
    </row>
    <row r="5640" spans="1:2" x14ac:dyDescent="0.2">
      <c r="A5640" s="57">
        <v>38249</v>
      </c>
    </row>
    <row r="5641" spans="1:2" x14ac:dyDescent="0.2">
      <c r="A5641" s="57">
        <v>38248</v>
      </c>
    </row>
    <row r="5642" spans="1:2" x14ac:dyDescent="0.2">
      <c r="A5642" s="57">
        <v>38247</v>
      </c>
      <c r="B5642">
        <v>1.2211000000000001</v>
      </c>
    </row>
    <row r="5643" spans="1:2" x14ac:dyDescent="0.2">
      <c r="A5643" s="57">
        <v>38246</v>
      </c>
      <c r="B5643">
        <v>1.2158</v>
      </c>
    </row>
    <row r="5644" spans="1:2" x14ac:dyDescent="0.2">
      <c r="A5644" s="57">
        <v>38245</v>
      </c>
      <c r="B5644">
        <v>1.2238</v>
      </c>
    </row>
    <row r="5645" spans="1:2" x14ac:dyDescent="0.2">
      <c r="A5645" s="57">
        <v>38244</v>
      </c>
      <c r="B5645">
        <v>1.2237</v>
      </c>
    </row>
    <row r="5646" spans="1:2" x14ac:dyDescent="0.2">
      <c r="A5646" s="57">
        <v>38243</v>
      </c>
      <c r="B5646">
        <v>1.2236</v>
      </c>
    </row>
    <row r="5647" spans="1:2" x14ac:dyDescent="0.2">
      <c r="A5647" s="57">
        <v>38242</v>
      </c>
    </row>
    <row r="5648" spans="1:2" x14ac:dyDescent="0.2">
      <c r="A5648" s="57">
        <v>38241</v>
      </c>
    </row>
    <row r="5649" spans="1:2" x14ac:dyDescent="0.2">
      <c r="A5649" s="57">
        <v>38240</v>
      </c>
      <c r="B5649">
        <v>1.2219</v>
      </c>
    </row>
    <row r="5650" spans="1:2" x14ac:dyDescent="0.2">
      <c r="A5650" s="57">
        <v>38239</v>
      </c>
      <c r="B5650">
        <v>1.2191000000000001</v>
      </c>
    </row>
    <row r="5651" spans="1:2" x14ac:dyDescent="0.2">
      <c r="A5651" s="57">
        <v>38238</v>
      </c>
      <c r="B5651">
        <v>1.2039</v>
      </c>
    </row>
    <row r="5652" spans="1:2" x14ac:dyDescent="0.2">
      <c r="A5652" s="57">
        <v>38237</v>
      </c>
      <c r="B5652">
        <v>1.2079</v>
      </c>
    </row>
    <row r="5653" spans="1:2" x14ac:dyDescent="0.2">
      <c r="A5653" s="57">
        <v>38236</v>
      </c>
      <c r="B5653">
        <v>1.2071000000000001</v>
      </c>
    </row>
    <row r="5654" spans="1:2" x14ac:dyDescent="0.2">
      <c r="A5654" s="57">
        <v>38235</v>
      </c>
    </row>
    <row r="5655" spans="1:2" x14ac:dyDescent="0.2">
      <c r="A5655" s="57">
        <v>38234</v>
      </c>
    </row>
    <row r="5656" spans="1:2" x14ac:dyDescent="0.2">
      <c r="A5656" s="57">
        <v>38233</v>
      </c>
      <c r="B5656">
        <v>1.2175</v>
      </c>
    </row>
    <row r="5657" spans="1:2" x14ac:dyDescent="0.2">
      <c r="A5657" s="57">
        <v>38232</v>
      </c>
      <c r="B5657">
        <v>1.2172000000000001</v>
      </c>
    </row>
    <row r="5658" spans="1:2" x14ac:dyDescent="0.2">
      <c r="A5658" s="57">
        <v>38231</v>
      </c>
      <c r="B5658">
        <v>1.2168000000000001</v>
      </c>
    </row>
    <row r="5659" spans="1:2" x14ac:dyDescent="0.2">
      <c r="A5659" s="57">
        <v>38230</v>
      </c>
      <c r="B5659">
        <v>1.2111000000000001</v>
      </c>
    </row>
    <row r="5660" spans="1:2" x14ac:dyDescent="0.2">
      <c r="A5660" s="57">
        <v>38229</v>
      </c>
      <c r="B5660">
        <v>1.2047000000000001</v>
      </c>
    </row>
    <row r="5661" spans="1:2" x14ac:dyDescent="0.2">
      <c r="A5661" s="57">
        <v>38228</v>
      </c>
    </row>
    <row r="5662" spans="1:2" x14ac:dyDescent="0.2">
      <c r="A5662" s="57">
        <v>38227</v>
      </c>
    </row>
    <row r="5663" spans="1:2" x14ac:dyDescent="0.2">
      <c r="A5663" s="57">
        <v>38226</v>
      </c>
      <c r="B5663">
        <v>1.2084999999999999</v>
      </c>
    </row>
    <row r="5664" spans="1:2" x14ac:dyDescent="0.2">
      <c r="A5664" s="57">
        <v>38225</v>
      </c>
      <c r="B5664">
        <v>1.21</v>
      </c>
    </row>
    <row r="5665" spans="1:2" x14ac:dyDescent="0.2">
      <c r="A5665" s="57">
        <v>38224</v>
      </c>
      <c r="B5665">
        <v>1.2081</v>
      </c>
    </row>
    <row r="5666" spans="1:2" x14ac:dyDescent="0.2">
      <c r="A5666" s="57">
        <v>38223</v>
      </c>
      <c r="B5666">
        <v>1.2139</v>
      </c>
    </row>
    <row r="5667" spans="1:2" x14ac:dyDescent="0.2">
      <c r="A5667" s="57">
        <v>38222</v>
      </c>
      <c r="B5667">
        <v>1.2250000000000001</v>
      </c>
    </row>
    <row r="5668" spans="1:2" x14ac:dyDescent="0.2">
      <c r="A5668" s="57">
        <v>38221</v>
      </c>
    </row>
    <row r="5669" spans="1:2" x14ac:dyDescent="0.2">
      <c r="A5669" s="57">
        <v>38220</v>
      </c>
    </row>
    <row r="5670" spans="1:2" x14ac:dyDescent="0.2">
      <c r="A5670" s="57">
        <v>38219</v>
      </c>
      <c r="B5670">
        <v>1.2293000000000001</v>
      </c>
    </row>
    <row r="5671" spans="1:2" x14ac:dyDescent="0.2">
      <c r="A5671" s="57">
        <v>38218</v>
      </c>
      <c r="B5671">
        <v>1.2359</v>
      </c>
    </row>
    <row r="5672" spans="1:2" x14ac:dyDescent="0.2">
      <c r="A5672" s="57">
        <v>38217</v>
      </c>
      <c r="B5672">
        <v>1.2331000000000001</v>
      </c>
    </row>
    <row r="5673" spans="1:2" x14ac:dyDescent="0.2">
      <c r="A5673" s="57">
        <v>38216</v>
      </c>
      <c r="B5673">
        <v>1.2338</v>
      </c>
    </row>
    <row r="5674" spans="1:2" x14ac:dyDescent="0.2">
      <c r="A5674" s="57">
        <v>38215</v>
      </c>
      <c r="B5674">
        <v>1.2337</v>
      </c>
    </row>
    <row r="5675" spans="1:2" x14ac:dyDescent="0.2">
      <c r="A5675" s="57">
        <v>38214</v>
      </c>
    </row>
    <row r="5676" spans="1:2" x14ac:dyDescent="0.2">
      <c r="A5676" s="57">
        <v>38213</v>
      </c>
    </row>
    <row r="5677" spans="1:2" x14ac:dyDescent="0.2">
      <c r="A5677" s="57">
        <v>38212</v>
      </c>
      <c r="B5677">
        <v>1.2219</v>
      </c>
    </row>
    <row r="5678" spans="1:2" x14ac:dyDescent="0.2">
      <c r="A5678" s="57">
        <v>38211</v>
      </c>
      <c r="B5678">
        <v>1.2256</v>
      </c>
    </row>
    <row r="5679" spans="1:2" x14ac:dyDescent="0.2">
      <c r="A5679" s="57">
        <v>38210</v>
      </c>
      <c r="B5679">
        <v>1.2233000000000001</v>
      </c>
    </row>
    <row r="5680" spans="1:2" x14ac:dyDescent="0.2">
      <c r="A5680" s="57">
        <v>38209</v>
      </c>
      <c r="B5680">
        <v>1.2279</v>
      </c>
    </row>
    <row r="5681" spans="1:2" x14ac:dyDescent="0.2">
      <c r="A5681" s="57">
        <v>38208</v>
      </c>
      <c r="B5681">
        <v>1.2246999999999999</v>
      </c>
    </row>
    <row r="5682" spans="1:2" x14ac:dyDescent="0.2">
      <c r="A5682" s="57">
        <v>38207</v>
      </c>
    </row>
    <row r="5683" spans="1:2" x14ac:dyDescent="0.2">
      <c r="A5683" s="57">
        <v>38206</v>
      </c>
    </row>
    <row r="5684" spans="1:2" x14ac:dyDescent="0.2">
      <c r="A5684" s="57">
        <v>38205</v>
      </c>
      <c r="B5684">
        <v>1.2063999999999999</v>
      </c>
    </row>
    <row r="5685" spans="1:2" x14ac:dyDescent="0.2">
      <c r="A5685" s="57">
        <v>38204</v>
      </c>
      <c r="B5685">
        <v>1.2041999999999999</v>
      </c>
    </row>
    <row r="5686" spans="1:2" x14ac:dyDescent="0.2">
      <c r="A5686" s="57">
        <v>38203</v>
      </c>
      <c r="B5686">
        <v>1.1982999999999999</v>
      </c>
    </row>
    <row r="5687" spans="1:2" x14ac:dyDescent="0.2">
      <c r="A5687" s="57">
        <v>38202</v>
      </c>
      <c r="B5687">
        <v>1.2021999999999999</v>
      </c>
    </row>
    <row r="5688" spans="1:2" x14ac:dyDescent="0.2">
      <c r="A5688" s="57">
        <v>38201</v>
      </c>
      <c r="B5688">
        <v>1.2055</v>
      </c>
    </row>
    <row r="5689" spans="1:2" x14ac:dyDescent="0.2">
      <c r="A5689" s="57">
        <v>38200</v>
      </c>
    </row>
    <row r="5690" spans="1:2" x14ac:dyDescent="0.2">
      <c r="A5690" s="57">
        <v>38199</v>
      </c>
    </row>
    <row r="5691" spans="1:2" x14ac:dyDescent="0.2">
      <c r="A5691" s="57">
        <v>38198</v>
      </c>
      <c r="B5691">
        <v>1.2039</v>
      </c>
    </row>
    <row r="5692" spans="1:2" x14ac:dyDescent="0.2">
      <c r="A5692" s="57">
        <v>38197</v>
      </c>
      <c r="B5692">
        <v>1.2025999999999999</v>
      </c>
    </row>
    <row r="5693" spans="1:2" x14ac:dyDescent="0.2">
      <c r="A5693" s="57">
        <v>38196</v>
      </c>
      <c r="B5693">
        <v>1.2034</v>
      </c>
    </row>
    <row r="5694" spans="1:2" x14ac:dyDescent="0.2">
      <c r="A5694" s="57">
        <v>38195</v>
      </c>
      <c r="B5694">
        <v>1.2168000000000001</v>
      </c>
    </row>
    <row r="5695" spans="1:2" x14ac:dyDescent="0.2">
      <c r="A5695" s="57">
        <v>38194</v>
      </c>
      <c r="B5695">
        <v>1.2162999999999999</v>
      </c>
    </row>
    <row r="5696" spans="1:2" x14ac:dyDescent="0.2">
      <c r="A5696" s="57">
        <v>38193</v>
      </c>
    </row>
    <row r="5697" spans="1:2" x14ac:dyDescent="0.2">
      <c r="A5697" s="57">
        <v>38192</v>
      </c>
    </row>
    <row r="5698" spans="1:2" x14ac:dyDescent="0.2">
      <c r="A5698" s="57">
        <v>38191</v>
      </c>
      <c r="B5698">
        <v>1.2191000000000001</v>
      </c>
    </row>
    <row r="5699" spans="1:2" x14ac:dyDescent="0.2">
      <c r="A5699" s="57">
        <v>38190</v>
      </c>
      <c r="B5699">
        <v>1.2267999999999999</v>
      </c>
    </row>
    <row r="5700" spans="1:2" x14ac:dyDescent="0.2">
      <c r="A5700" s="57">
        <v>38189</v>
      </c>
      <c r="B5700">
        <v>1.2296</v>
      </c>
    </row>
    <row r="5701" spans="1:2" x14ac:dyDescent="0.2">
      <c r="A5701" s="57">
        <v>38188</v>
      </c>
      <c r="B5701">
        <v>1.2384999999999999</v>
      </c>
    </row>
    <row r="5702" spans="1:2" x14ac:dyDescent="0.2">
      <c r="A5702" s="57">
        <v>38187</v>
      </c>
      <c r="B5702">
        <v>1.2412000000000001</v>
      </c>
    </row>
    <row r="5703" spans="1:2" x14ac:dyDescent="0.2">
      <c r="A5703" s="57">
        <v>38186</v>
      </c>
    </row>
    <row r="5704" spans="1:2" x14ac:dyDescent="0.2">
      <c r="A5704" s="57">
        <v>38185</v>
      </c>
    </row>
    <row r="5705" spans="1:2" x14ac:dyDescent="0.2">
      <c r="A5705" s="57">
        <v>38184</v>
      </c>
      <c r="B5705">
        <v>1.2353000000000001</v>
      </c>
    </row>
    <row r="5706" spans="1:2" x14ac:dyDescent="0.2">
      <c r="A5706" s="57">
        <v>38183</v>
      </c>
      <c r="B5706">
        <v>1.2374000000000001</v>
      </c>
    </row>
    <row r="5707" spans="1:2" x14ac:dyDescent="0.2">
      <c r="A5707" s="57">
        <v>38182</v>
      </c>
      <c r="B5707">
        <v>1.2381</v>
      </c>
    </row>
    <row r="5708" spans="1:2" x14ac:dyDescent="0.2">
      <c r="A5708" s="57">
        <v>38181</v>
      </c>
      <c r="B5708">
        <v>1.2372000000000001</v>
      </c>
    </row>
    <row r="5709" spans="1:2" x14ac:dyDescent="0.2">
      <c r="A5709" s="57">
        <v>38180</v>
      </c>
      <c r="B5709">
        <v>1.2397</v>
      </c>
    </row>
    <row r="5710" spans="1:2" x14ac:dyDescent="0.2">
      <c r="A5710" s="57">
        <v>38179</v>
      </c>
    </row>
    <row r="5711" spans="1:2" x14ac:dyDescent="0.2">
      <c r="A5711" s="57">
        <v>38178</v>
      </c>
    </row>
    <row r="5712" spans="1:2" x14ac:dyDescent="0.2">
      <c r="A5712" s="57">
        <v>38177</v>
      </c>
      <c r="B5712">
        <v>1.2372000000000001</v>
      </c>
    </row>
    <row r="5713" spans="1:2" x14ac:dyDescent="0.2">
      <c r="A5713" s="57">
        <v>38176</v>
      </c>
      <c r="B5713">
        <v>1.2347999999999999</v>
      </c>
    </row>
    <row r="5714" spans="1:2" x14ac:dyDescent="0.2">
      <c r="A5714" s="57">
        <v>38175</v>
      </c>
      <c r="B5714">
        <v>1.2357</v>
      </c>
    </row>
    <row r="5715" spans="1:2" x14ac:dyDescent="0.2">
      <c r="A5715" s="57">
        <v>38174</v>
      </c>
      <c r="B5715">
        <v>1.2309000000000001</v>
      </c>
    </row>
    <row r="5716" spans="1:2" x14ac:dyDescent="0.2">
      <c r="A5716" s="57">
        <v>38173</v>
      </c>
      <c r="B5716">
        <v>1.2287999999999999</v>
      </c>
    </row>
    <row r="5717" spans="1:2" x14ac:dyDescent="0.2">
      <c r="A5717" s="57">
        <v>38172</v>
      </c>
    </row>
    <row r="5718" spans="1:2" x14ac:dyDescent="0.2">
      <c r="A5718" s="57">
        <v>38171</v>
      </c>
    </row>
    <row r="5719" spans="1:2" x14ac:dyDescent="0.2">
      <c r="A5719" s="57">
        <v>38170</v>
      </c>
      <c r="B5719">
        <v>1.2148000000000001</v>
      </c>
    </row>
    <row r="5720" spans="1:2" x14ac:dyDescent="0.2">
      <c r="A5720" s="57">
        <v>38169</v>
      </c>
      <c r="B5720">
        <v>1.2168000000000001</v>
      </c>
    </row>
    <row r="5721" spans="1:2" x14ac:dyDescent="0.2">
      <c r="A5721" s="57">
        <v>38168</v>
      </c>
      <c r="B5721">
        <v>1.2155</v>
      </c>
    </row>
    <row r="5722" spans="1:2" x14ac:dyDescent="0.2">
      <c r="A5722" s="57">
        <v>38167</v>
      </c>
      <c r="B5722">
        <v>1.2169000000000001</v>
      </c>
    </row>
    <row r="5723" spans="1:2" x14ac:dyDescent="0.2">
      <c r="A5723" s="57">
        <v>38166</v>
      </c>
      <c r="B5723">
        <v>1.2208000000000001</v>
      </c>
    </row>
    <row r="5724" spans="1:2" x14ac:dyDescent="0.2">
      <c r="A5724" s="57">
        <v>38165</v>
      </c>
    </row>
    <row r="5725" spans="1:2" x14ac:dyDescent="0.2">
      <c r="A5725" s="57">
        <v>38164</v>
      </c>
    </row>
    <row r="5726" spans="1:2" x14ac:dyDescent="0.2">
      <c r="A5726" s="57">
        <v>38163</v>
      </c>
      <c r="B5726">
        <v>1.2138</v>
      </c>
    </row>
    <row r="5727" spans="1:2" x14ac:dyDescent="0.2">
      <c r="A5727" s="57">
        <v>38162</v>
      </c>
      <c r="B5727">
        <v>1.2121999999999999</v>
      </c>
    </row>
    <row r="5728" spans="1:2" x14ac:dyDescent="0.2">
      <c r="A5728" s="57">
        <v>38161</v>
      </c>
      <c r="B5728">
        <v>1.2087000000000001</v>
      </c>
    </row>
    <row r="5729" spans="1:2" x14ac:dyDescent="0.2">
      <c r="A5729" s="57">
        <v>38160</v>
      </c>
      <c r="B5729">
        <v>1.2091000000000001</v>
      </c>
    </row>
    <row r="5730" spans="1:2" x14ac:dyDescent="0.2">
      <c r="A5730" s="57">
        <v>38159</v>
      </c>
      <c r="B5730">
        <v>1.2112000000000001</v>
      </c>
    </row>
    <row r="5731" spans="1:2" x14ac:dyDescent="0.2">
      <c r="A5731" s="57">
        <v>38158</v>
      </c>
    </row>
    <row r="5732" spans="1:2" x14ac:dyDescent="0.2">
      <c r="A5732" s="57">
        <v>38157</v>
      </c>
    </row>
    <row r="5733" spans="1:2" x14ac:dyDescent="0.2">
      <c r="A5733" s="57">
        <v>38156</v>
      </c>
      <c r="B5733">
        <v>1.2041999999999999</v>
      </c>
    </row>
    <row r="5734" spans="1:2" x14ac:dyDescent="0.2">
      <c r="A5734" s="57">
        <v>38155</v>
      </c>
      <c r="B5734">
        <v>1.2044999999999999</v>
      </c>
    </row>
    <row r="5735" spans="1:2" x14ac:dyDescent="0.2">
      <c r="A5735" s="57">
        <v>38154</v>
      </c>
      <c r="B5735">
        <v>1.2058</v>
      </c>
    </row>
    <row r="5736" spans="1:2" x14ac:dyDescent="0.2">
      <c r="A5736" s="57">
        <v>38153</v>
      </c>
      <c r="B5736">
        <v>1.2051000000000001</v>
      </c>
    </row>
    <row r="5737" spans="1:2" x14ac:dyDescent="0.2">
      <c r="A5737" s="57">
        <v>38152</v>
      </c>
      <c r="B5737">
        <v>1.2000999999999999</v>
      </c>
    </row>
    <row r="5738" spans="1:2" x14ac:dyDescent="0.2">
      <c r="A5738" s="57">
        <v>38151</v>
      </c>
    </row>
    <row r="5739" spans="1:2" x14ac:dyDescent="0.2">
      <c r="A5739" s="57">
        <v>38150</v>
      </c>
    </row>
    <row r="5740" spans="1:2" x14ac:dyDescent="0.2">
      <c r="A5740" s="57">
        <v>38149</v>
      </c>
      <c r="B5740">
        <v>1.2005999999999999</v>
      </c>
    </row>
    <row r="5741" spans="1:2" x14ac:dyDescent="0.2">
      <c r="A5741" s="57">
        <v>38148</v>
      </c>
      <c r="B5741">
        <v>1.2052</v>
      </c>
    </row>
    <row r="5742" spans="1:2" x14ac:dyDescent="0.2">
      <c r="A5742" s="57">
        <v>38147</v>
      </c>
      <c r="B5742">
        <v>1.2157</v>
      </c>
    </row>
    <row r="5743" spans="1:2" x14ac:dyDescent="0.2">
      <c r="A5743" s="57">
        <v>38146</v>
      </c>
      <c r="B5743">
        <v>1.2294</v>
      </c>
    </row>
    <row r="5744" spans="1:2" x14ac:dyDescent="0.2">
      <c r="A5744" s="57">
        <v>38145</v>
      </c>
      <c r="B5744">
        <v>1.2319</v>
      </c>
    </row>
    <row r="5745" spans="1:2" x14ac:dyDescent="0.2">
      <c r="A5745" s="57">
        <v>38144</v>
      </c>
    </row>
    <row r="5746" spans="1:2" x14ac:dyDescent="0.2">
      <c r="A5746" s="57">
        <v>38143</v>
      </c>
    </row>
    <row r="5747" spans="1:2" x14ac:dyDescent="0.2">
      <c r="A5747" s="57">
        <v>38142</v>
      </c>
      <c r="B5747">
        <v>1.2202999999999999</v>
      </c>
    </row>
    <row r="5748" spans="1:2" x14ac:dyDescent="0.2">
      <c r="A5748" s="57">
        <v>38141</v>
      </c>
      <c r="B5748">
        <v>1.2225999999999999</v>
      </c>
    </row>
    <row r="5749" spans="1:2" x14ac:dyDescent="0.2">
      <c r="A5749" s="57">
        <v>38140</v>
      </c>
      <c r="B5749">
        <v>1.2276</v>
      </c>
    </row>
    <row r="5750" spans="1:2" x14ac:dyDescent="0.2">
      <c r="A5750" s="57">
        <v>38139</v>
      </c>
      <c r="B5750">
        <v>1.2231000000000001</v>
      </c>
    </row>
    <row r="5751" spans="1:2" x14ac:dyDescent="0.2">
      <c r="A5751" s="57">
        <v>38138</v>
      </c>
      <c r="B5751">
        <v>1.2198</v>
      </c>
    </row>
    <row r="5752" spans="1:2" x14ac:dyDescent="0.2">
      <c r="A5752" s="57">
        <v>38137</v>
      </c>
    </row>
    <row r="5753" spans="1:2" x14ac:dyDescent="0.2">
      <c r="A5753" s="57">
        <v>38136</v>
      </c>
    </row>
    <row r="5754" spans="1:2" x14ac:dyDescent="0.2">
      <c r="A5754" s="57">
        <v>38135</v>
      </c>
      <c r="B5754">
        <v>1.2245999999999999</v>
      </c>
    </row>
    <row r="5755" spans="1:2" x14ac:dyDescent="0.2">
      <c r="A5755" s="57">
        <v>38134</v>
      </c>
      <c r="B5755">
        <v>1.2164999999999999</v>
      </c>
    </row>
    <row r="5756" spans="1:2" x14ac:dyDescent="0.2">
      <c r="A5756" s="57">
        <v>38133</v>
      </c>
      <c r="B5756">
        <v>1.2105999999999999</v>
      </c>
    </row>
    <row r="5757" spans="1:2" x14ac:dyDescent="0.2">
      <c r="A5757" s="57">
        <v>38132</v>
      </c>
      <c r="B5757">
        <v>1.2062999999999999</v>
      </c>
    </row>
    <row r="5758" spans="1:2" x14ac:dyDescent="0.2">
      <c r="A5758" s="57">
        <v>38131</v>
      </c>
      <c r="B5758">
        <v>1.1968000000000001</v>
      </c>
    </row>
    <row r="5759" spans="1:2" x14ac:dyDescent="0.2">
      <c r="A5759" s="57">
        <v>38130</v>
      </c>
    </row>
    <row r="5760" spans="1:2" x14ac:dyDescent="0.2">
      <c r="A5760" s="57">
        <v>38129</v>
      </c>
    </row>
    <row r="5761" spans="1:2" x14ac:dyDescent="0.2">
      <c r="A5761" s="57">
        <v>38128</v>
      </c>
      <c r="B5761">
        <v>1.2031000000000001</v>
      </c>
    </row>
    <row r="5762" spans="1:2" x14ac:dyDescent="0.2">
      <c r="A5762" s="57">
        <v>38127</v>
      </c>
      <c r="B5762">
        <v>1.1921999999999999</v>
      </c>
    </row>
    <row r="5763" spans="1:2" x14ac:dyDescent="0.2">
      <c r="A5763" s="57">
        <v>38126</v>
      </c>
      <c r="B5763">
        <v>1.1989000000000001</v>
      </c>
    </row>
    <row r="5764" spans="1:2" x14ac:dyDescent="0.2">
      <c r="A5764" s="57">
        <v>38125</v>
      </c>
      <c r="B5764">
        <v>1.1982999999999999</v>
      </c>
    </row>
    <row r="5765" spans="1:2" x14ac:dyDescent="0.2">
      <c r="A5765" s="57">
        <v>38124</v>
      </c>
      <c r="B5765">
        <v>1.2022999999999999</v>
      </c>
    </row>
    <row r="5766" spans="1:2" x14ac:dyDescent="0.2">
      <c r="A5766" s="57">
        <v>38123</v>
      </c>
    </row>
    <row r="5767" spans="1:2" x14ac:dyDescent="0.2">
      <c r="A5767" s="57">
        <v>38122</v>
      </c>
    </row>
    <row r="5768" spans="1:2" x14ac:dyDescent="0.2">
      <c r="A5768" s="57">
        <v>38121</v>
      </c>
      <c r="B5768">
        <v>1.1801999999999999</v>
      </c>
    </row>
    <row r="5769" spans="1:2" x14ac:dyDescent="0.2">
      <c r="A5769" s="57">
        <v>38120</v>
      </c>
      <c r="B5769">
        <v>1.1822999999999999</v>
      </c>
    </row>
    <row r="5770" spans="1:2" x14ac:dyDescent="0.2">
      <c r="A5770" s="57">
        <v>38119</v>
      </c>
      <c r="B5770">
        <v>1.1857</v>
      </c>
    </row>
    <row r="5771" spans="1:2" x14ac:dyDescent="0.2">
      <c r="A5771" s="57">
        <v>38118</v>
      </c>
      <c r="B5771">
        <v>1.1803999999999999</v>
      </c>
    </row>
    <row r="5772" spans="1:2" x14ac:dyDescent="0.2">
      <c r="A5772" s="57">
        <v>38117</v>
      </c>
      <c r="B5772">
        <v>1.1842999999999999</v>
      </c>
    </row>
    <row r="5773" spans="1:2" x14ac:dyDescent="0.2">
      <c r="A5773" s="57">
        <v>38116</v>
      </c>
    </row>
    <row r="5774" spans="1:2" x14ac:dyDescent="0.2">
      <c r="A5774" s="57">
        <v>38115</v>
      </c>
    </row>
    <row r="5775" spans="1:2" x14ac:dyDescent="0.2">
      <c r="A5775" s="57">
        <v>38114</v>
      </c>
      <c r="B5775">
        <v>1.2073</v>
      </c>
    </row>
    <row r="5776" spans="1:2" x14ac:dyDescent="0.2">
      <c r="A5776" s="57">
        <v>38113</v>
      </c>
      <c r="B5776">
        <v>1.2116</v>
      </c>
    </row>
    <row r="5777" spans="1:2" x14ac:dyDescent="0.2">
      <c r="A5777" s="57">
        <v>38112</v>
      </c>
      <c r="B5777">
        <v>1.2125999999999999</v>
      </c>
    </row>
    <row r="5778" spans="1:2" x14ac:dyDescent="0.2">
      <c r="A5778" s="57">
        <v>38111</v>
      </c>
      <c r="B5778">
        <v>1.2060999999999999</v>
      </c>
    </row>
    <row r="5779" spans="1:2" x14ac:dyDescent="0.2">
      <c r="A5779" s="57">
        <v>38110</v>
      </c>
      <c r="B5779">
        <v>1.1953</v>
      </c>
    </row>
    <row r="5780" spans="1:2" x14ac:dyDescent="0.2">
      <c r="A5780" s="57">
        <v>38109</v>
      </c>
    </row>
    <row r="5781" spans="1:2" x14ac:dyDescent="0.2">
      <c r="A5781" s="57">
        <v>38108</v>
      </c>
    </row>
    <row r="5782" spans="1:2" x14ac:dyDescent="0.2">
      <c r="A5782" s="57">
        <v>38107</v>
      </c>
      <c r="B5782">
        <v>1.1947000000000001</v>
      </c>
    </row>
    <row r="5783" spans="1:2" x14ac:dyDescent="0.2">
      <c r="A5783" s="57">
        <v>38106</v>
      </c>
      <c r="B5783">
        <v>1.1826000000000001</v>
      </c>
    </row>
    <row r="5784" spans="1:2" x14ac:dyDescent="0.2">
      <c r="A5784" s="57">
        <v>38105</v>
      </c>
      <c r="B5784">
        <v>1.1907000000000001</v>
      </c>
    </row>
    <row r="5785" spans="1:2" x14ac:dyDescent="0.2">
      <c r="A5785" s="57">
        <v>38104</v>
      </c>
      <c r="B5785">
        <v>1.1887000000000001</v>
      </c>
    </row>
    <row r="5786" spans="1:2" x14ac:dyDescent="0.2">
      <c r="A5786" s="57">
        <v>38103</v>
      </c>
      <c r="B5786">
        <v>1.1851</v>
      </c>
    </row>
    <row r="5787" spans="1:2" x14ac:dyDescent="0.2">
      <c r="A5787" s="57">
        <v>38102</v>
      </c>
    </row>
    <row r="5788" spans="1:2" x14ac:dyDescent="0.2">
      <c r="A5788" s="57">
        <v>38101</v>
      </c>
    </row>
    <row r="5789" spans="1:2" x14ac:dyDescent="0.2">
      <c r="A5789" s="57">
        <v>38100</v>
      </c>
      <c r="B5789">
        <v>1.1884999999999999</v>
      </c>
    </row>
    <row r="5790" spans="1:2" x14ac:dyDescent="0.2">
      <c r="A5790" s="57">
        <v>38099</v>
      </c>
      <c r="B5790">
        <v>1.1873</v>
      </c>
    </row>
    <row r="5791" spans="1:2" x14ac:dyDescent="0.2">
      <c r="A5791" s="57">
        <v>38098</v>
      </c>
      <c r="B5791">
        <v>1.1836</v>
      </c>
    </row>
    <row r="5792" spans="1:2" x14ac:dyDescent="0.2">
      <c r="A5792" s="57">
        <v>38097</v>
      </c>
      <c r="B5792">
        <v>1.1926000000000001</v>
      </c>
    </row>
    <row r="5793" spans="1:2" x14ac:dyDescent="0.2">
      <c r="A5793" s="57">
        <v>38096</v>
      </c>
      <c r="B5793">
        <v>1.2043999999999999</v>
      </c>
    </row>
    <row r="5794" spans="1:2" x14ac:dyDescent="0.2">
      <c r="A5794" s="57">
        <v>38095</v>
      </c>
    </row>
    <row r="5795" spans="1:2" x14ac:dyDescent="0.2">
      <c r="A5795" s="57">
        <v>38094</v>
      </c>
    </row>
    <row r="5796" spans="1:2" x14ac:dyDescent="0.2">
      <c r="A5796" s="57">
        <v>38093</v>
      </c>
      <c r="B5796">
        <v>1.1932</v>
      </c>
    </row>
    <row r="5797" spans="1:2" x14ac:dyDescent="0.2">
      <c r="A5797" s="57">
        <v>38092</v>
      </c>
      <c r="B5797">
        <v>1.1912</v>
      </c>
    </row>
    <row r="5798" spans="1:2" x14ac:dyDescent="0.2">
      <c r="A5798" s="57">
        <v>38091</v>
      </c>
      <c r="B5798">
        <v>1.1923999999999999</v>
      </c>
    </row>
    <row r="5799" spans="1:2" x14ac:dyDescent="0.2">
      <c r="A5799" s="57">
        <v>38090</v>
      </c>
      <c r="B5799">
        <v>1.1975</v>
      </c>
    </row>
    <row r="5800" spans="1:2" x14ac:dyDescent="0.2">
      <c r="A5800" s="57">
        <v>38089</v>
      </c>
    </row>
    <row r="5801" spans="1:2" x14ac:dyDescent="0.2">
      <c r="A5801" s="57">
        <v>38088</v>
      </c>
    </row>
    <row r="5802" spans="1:2" x14ac:dyDescent="0.2">
      <c r="A5802" s="57">
        <v>38087</v>
      </c>
    </row>
    <row r="5803" spans="1:2" x14ac:dyDescent="0.2">
      <c r="A5803" s="57">
        <v>38086</v>
      </c>
    </row>
    <row r="5804" spans="1:2" x14ac:dyDescent="0.2">
      <c r="A5804" s="57">
        <v>38085</v>
      </c>
      <c r="B5804">
        <v>1.2096</v>
      </c>
    </row>
    <row r="5805" spans="1:2" x14ac:dyDescent="0.2">
      <c r="A5805" s="57">
        <v>38084</v>
      </c>
      <c r="B5805">
        <v>1.2101</v>
      </c>
    </row>
    <row r="5806" spans="1:2" x14ac:dyDescent="0.2">
      <c r="A5806" s="57">
        <v>38083</v>
      </c>
      <c r="B5806">
        <v>1.2090000000000001</v>
      </c>
    </row>
    <row r="5807" spans="1:2" x14ac:dyDescent="0.2">
      <c r="A5807" s="57">
        <v>38082</v>
      </c>
      <c r="B5807">
        <v>1.2058</v>
      </c>
    </row>
    <row r="5808" spans="1:2" x14ac:dyDescent="0.2">
      <c r="A5808" s="57">
        <v>38081</v>
      </c>
    </row>
    <row r="5809" spans="1:2" x14ac:dyDescent="0.2">
      <c r="A5809" s="57">
        <v>38080</v>
      </c>
    </row>
    <row r="5810" spans="1:2" x14ac:dyDescent="0.2">
      <c r="A5810" s="57">
        <v>38079</v>
      </c>
      <c r="B5810">
        <v>1.2318</v>
      </c>
    </row>
    <row r="5811" spans="1:2" x14ac:dyDescent="0.2">
      <c r="A5811" s="57">
        <v>38078</v>
      </c>
      <c r="B5811">
        <v>1.232</v>
      </c>
    </row>
    <row r="5812" spans="1:2" x14ac:dyDescent="0.2">
      <c r="A5812" s="57">
        <v>38077</v>
      </c>
      <c r="B5812">
        <v>1.2223999999999999</v>
      </c>
    </row>
    <row r="5813" spans="1:2" x14ac:dyDescent="0.2">
      <c r="A5813" s="57">
        <v>38076</v>
      </c>
      <c r="B5813">
        <v>1.2186999999999999</v>
      </c>
    </row>
    <row r="5814" spans="1:2" x14ac:dyDescent="0.2">
      <c r="A5814" s="57">
        <v>38075</v>
      </c>
      <c r="B5814">
        <v>1.2118</v>
      </c>
    </row>
    <row r="5815" spans="1:2" x14ac:dyDescent="0.2">
      <c r="A5815" s="57">
        <v>38074</v>
      </c>
    </row>
    <row r="5816" spans="1:2" x14ac:dyDescent="0.2">
      <c r="A5816" s="57">
        <v>38073</v>
      </c>
    </row>
    <row r="5817" spans="1:2" x14ac:dyDescent="0.2">
      <c r="A5817" s="57">
        <v>38072</v>
      </c>
      <c r="B5817">
        <v>1.2173</v>
      </c>
    </row>
    <row r="5818" spans="1:2" x14ac:dyDescent="0.2">
      <c r="A5818" s="57">
        <v>38071</v>
      </c>
      <c r="B5818">
        <v>1.2132000000000001</v>
      </c>
    </row>
    <row r="5819" spans="1:2" x14ac:dyDescent="0.2">
      <c r="A5819" s="57">
        <v>38070</v>
      </c>
      <c r="B5819">
        <v>1.2196</v>
      </c>
    </row>
    <row r="5820" spans="1:2" x14ac:dyDescent="0.2">
      <c r="A5820" s="57">
        <v>38069</v>
      </c>
      <c r="B5820">
        <v>1.2276</v>
      </c>
    </row>
    <row r="5821" spans="1:2" x14ac:dyDescent="0.2">
      <c r="A5821" s="57">
        <v>38068</v>
      </c>
      <c r="B5821">
        <v>1.2353000000000001</v>
      </c>
    </row>
    <row r="5822" spans="1:2" x14ac:dyDescent="0.2">
      <c r="A5822" s="57">
        <v>38067</v>
      </c>
    </row>
    <row r="5823" spans="1:2" x14ac:dyDescent="0.2">
      <c r="A5823" s="57">
        <v>38066</v>
      </c>
    </row>
    <row r="5824" spans="1:2" x14ac:dyDescent="0.2">
      <c r="A5824" s="57">
        <v>38065</v>
      </c>
      <c r="B5824">
        <v>1.2343999999999999</v>
      </c>
    </row>
    <row r="5825" spans="1:2" x14ac:dyDescent="0.2">
      <c r="A5825" s="57">
        <v>38064</v>
      </c>
      <c r="B5825">
        <v>1.2261</v>
      </c>
    </row>
    <row r="5826" spans="1:2" x14ac:dyDescent="0.2">
      <c r="A5826" s="57">
        <v>38063</v>
      </c>
      <c r="B5826">
        <v>1.2251000000000001</v>
      </c>
    </row>
    <row r="5827" spans="1:2" x14ac:dyDescent="0.2">
      <c r="A5827" s="57">
        <v>38062</v>
      </c>
      <c r="B5827">
        <v>1.2350000000000001</v>
      </c>
    </row>
    <row r="5828" spans="1:2" x14ac:dyDescent="0.2">
      <c r="A5828" s="57">
        <v>38061</v>
      </c>
      <c r="B5828">
        <v>1.2278</v>
      </c>
    </row>
    <row r="5829" spans="1:2" x14ac:dyDescent="0.2">
      <c r="A5829" s="57">
        <v>38060</v>
      </c>
    </row>
    <row r="5830" spans="1:2" x14ac:dyDescent="0.2">
      <c r="A5830" s="57">
        <v>38059</v>
      </c>
    </row>
    <row r="5831" spans="1:2" x14ac:dyDescent="0.2">
      <c r="A5831" s="57">
        <v>38058</v>
      </c>
      <c r="B5831">
        <v>1.2235</v>
      </c>
    </row>
    <row r="5832" spans="1:2" x14ac:dyDescent="0.2">
      <c r="A5832" s="57">
        <v>38057</v>
      </c>
      <c r="B5832">
        <v>1.2256</v>
      </c>
    </row>
    <row r="5833" spans="1:2" x14ac:dyDescent="0.2">
      <c r="A5833" s="57">
        <v>38056</v>
      </c>
      <c r="B5833">
        <v>1.2299</v>
      </c>
    </row>
    <row r="5834" spans="1:2" x14ac:dyDescent="0.2">
      <c r="A5834" s="57">
        <v>38055</v>
      </c>
      <c r="B5834">
        <v>1.2361</v>
      </c>
    </row>
    <row r="5835" spans="1:2" x14ac:dyDescent="0.2">
      <c r="A5835" s="57">
        <v>38054</v>
      </c>
      <c r="B5835">
        <v>1.2356</v>
      </c>
    </row>
    <row r="5836" spans="1:2" x14ac:dyDescent="0.2">
      <c r="A5836" s="57">
        <v>38053</v>
      </c>
    </row>
    <row r="5837" spans="1:2" x14ac:dyDescent="0.2">
      <c r="A5837" s="57">
        <v>38052</v>
      </c>
    </row>
    <row r="5838" spans="1:2" x14ac:dyDescent="0.2">
      <c r="A5838" s="57">
        <v>38051</v>
      </c>
      <c r="B5838">
        <v>1.2192000000000001</v>
      </c>
    </row>
    <row r="5839" spans="1:2" x14ac:dyDescent="0.2">
      <c r="A5839" s="57">
        <v>38050</v>
      </c>
      <c r="B5839">
        <v>1.2146999999999999</v>
      </c>
    </row>
    <row r="5840" spans="1:2" x14ac:dyDescent="0.2">
      <c r="A5840" s="57">
        <v>38049</v>
      </c>
      <c r="B5840">
        <v>1.2142999999999999</v>
      </c>
    </row>
    <row r="5841" spans="1:2" x14ac:dyDescent="0.2">
      <c r="A5841" s="57">
        <v>38048</v>
      </c>
      <c r="B5841">
        <v>1.2402</v>
      </c>
    </row>
    <row r="5842" spans="1:2" x14ac:dyDescent="0.2">
      <c r="A5842" s="57">
        <v>38047</v>
      </c>
      <c r="B5842">
        <v>1.2484</v>
      </c>
    </row>
    <row r="5843" spans="1:2" x14ac:dyDescent="0.2">
      <c r="A5843" s="57">
        <v>38046</v>
      </c>
    </row>
    <row r="5844" spans="1:2" x14ac:dyDescent="0.2">
      <c r="A5844" s="57">
        <v>38045</v>
      </c>
    </row>
    <row r="5845" spans="1:2" x14ac:dyDescent="0.2">
      <c r="A5845" s="57">
        <v>38044</v>
      </c>
      <c r="B5845">
        <v>1.2418</v>
      </c>
    </row>
    <row r="5846" spans="1:2" x14ac:dyDescent="0.2">
      <c r="A5846" s="57">
        <v>38043</v>
      </c>
      <c r="B5846">
        <v>1.2444</v>
      </c>
    </row>
    <row r="5847" spans="1:2" x14ac:dyDescent="0.2">
      <c r="A5847" s="57">
        <v>38042</v>
      </c>
      <c r="B5847">
        <v>1.2628999999999999</v>
      </c>
    </row>
    <row r="5848" spans="1:2" x14ac:dyDescent="0.2">
      <c r="A5848" s="57">
        <v>38041</v>
      </c>
      <c r="B5848">
        <v>1.2595000000000001</v>
      </c>
    </row>
    <row r="5849" spans="1:2" x14ac:dyDescent="0.2">
      <c r="A5849" s="57">
        <v>38040</v>
      </c>
      <c r="B5849">
        <v>1.2576000000000001</v>
      </c>
    </row>
    <row r="5850" spans="1:2" x14ac:dyDescent="0.2">
      <c r="A5850" s="57">
        <v>38039</v>
      </c>
    </row>
    <row r="5851" spans="1:2" x14ac:dyDescent="0.2">
      <c r="A5851" s="57">
        <v>38038</v>
      </c>
    </row>
    <row r="5852" spans="1:2" x14ac:dyDescent="0.2">
      <c r="A5852" s="57">
        <v>38037</v>
      </c>
      <c r="B5852">
        <v>1.2663</v>
      </c>
    </row>
    <row r="5853" spans="1:2" x14ac:dyDescent="0.2">
      <c r="A5853" s="57">
        <v>38036</v>
      </c>
      <c r="B5853">
        <v>1.2724</v>
      </c>
    </row>
    <row r="5854" spans="1:2" x14ac:dyDescent="0.2">
      <c r="A5854" s="57">
        <v>38035</v>
      </c>
      <c r="B5854">
        <v>1.2824</v>
      </c>
    </row>
    <row r="5855" spans="1:2" x14ac:dyDescent="0.2">
      <c r="A5855" s="57">
        <v>38034</v>
      </c>
      <c r="B5855">
        <v>1.2858000000000001</v>
      </c>
    </row>
    <row r="5856" spans="1:2" x14ac:dyDescent="0.2">
      <c r="A5856" s="57">
        <v>38033</v>
      </c>
      <c r="B5856">
        <v>1.2741</v>
      </c>
    </row>
    <row r="5857" spans="1:2" x14ac:dyDescent="0.2">
      <c r="A5857" s="57">
        <v>38032</v>
      </c>
    </row>
    <row r="5858" spans="1:2" x14ac:dyDescent="0.2">
      <c r="A5858" s="57">
        <v>38031</v>
      </c>
    </row>
    <row r="5859" spans="1:2" x14ac:dyDescent="0.2">
      <c r="A5859" s="57">
        <v>38030</v>
      </c>
      <c r="B5859">
        <v>1.2816000000000001</v>
      </c>
    </row>
    <row r="5860" spans="1:2" x14ac:dyDescent="0.2">
      <c r="A5860" s="57">
        <v>38029</v>
      </c>
      <c r="B5860">
        <v>1.2802</v>
      </c>
    </row>
    <row r="5861" spans="1:2" x14ac:dyDescent="0.2">
      <c r="A5861" s="57">
        <v>38028</v>
      </c>
      <c r="B5861">
        <v>1.268</v>
      </c>
    </row>
    <row r="5862" spans="1:2" x14ac:dyDescent="0.2">
      <c r="A5862" s="57">
        <v>38027</v>
      </c>
      <c r="B5862">
        <v>1.2764</v>
      </c>
    </row>
    <row r="5863" spans="1:2" x14ac:dyDescent="0.2">
      <c r="A5863" s="57">
        <v>38026</v>
      </c>
      <c r="B5863">
        <v>1.2713000000000001</v>
      </c>
    </row>
    <row r="5864" spans="1:2" x14ac:dyDescent="0.2">
      <c r="A5864" s="57">
        <v>38025</v>
      </c>
    </row>
    <row r="5865" spans="1:2" x14ac:dyDescent="0.2">
      <c r="A5865" s="57">
        <v>38024</v>
      </c>
    </row>
    <row r="5866" spans="1:2" x14ac:dyDescent="0.2">
      <c r="A5866" s="57">
        <v>38023</v>
      </c>
      <c r="B5866">
        <v>1.2528999999999999</v>
      </c>
    </row>
    <row r="5867" spans="1:2" x14ac:dyDescent="0.2">
      <c r="A5867" s="57">
        <v>38022</v>
      </c>
      <c r="B5867">
        <v>1.2583</v>
      </c>
    </row>
    <row r="5868" spans="1:2" x14ac:dyDescent="0.2">
      <c r="A5868" s="57">
        <v>38021</v>
      </c>
      <c r="B5868">
        <v>1.2524</v>
      </c>
    </row>
    <row r="5869" spans="1:2" x14ac:dyDescent="0.2">
      <c r="A5869" s="57">
        <v>38020</v>
      </c>
      <c r="B5869">
        <v>1.2585</v>
      </c>
    </row>
    <row r="5870" spans="1:2" x14ac:dyDescent="0.2">
      <c r="A5870" s="57">
        <v>38019</v>
      </c>
      <c r="B5870">
        <v>1.2461</v>
      </c>
    </row>
    <row r="5871" spans="1:2" x14ac:dyDescent="0.2">
      <c r="A5871" s="57">
        <v>38018</v>
      </c>
    </row>
    <row r="5872" spans="1:2" x14ac:dyDescent="0.2">
      <c r="A5872" s="57">
        <v>38017</v>
      </c>
    </row>
    <row r="5873" spans="1:2" x14ac:dyDescent="0.2">
      <c r="A5873" s="57">
        <v>38016</v>
      </c>
      <c r="B5873">
        <v>1.2383999999999999</v>
      </c>
    </row>
    <row r="5874" spans="1:2" x14ac:dyDescent="0.2">
      <c r="A5874" s="57">
        <v>38015</v>
      </c>
      <c r="B5874">
        <v>1.2467999999999999</v>
      </c>
    </row>
    <row r="5875" spans="1:2" x14ac:dyDescent="0.2">
      <c r="A5875" s="57">
        <v>38014</v>
      </c>
      <c r="B5875">
        <v>1.2563</v>
      </c>
    </row>
    <row r="5876" spans="1:2" x14ac:dyDescent="0.2">
      <c r="A5876" s="57">
        <v>38013</v>
      </c>
      <c r="B5876">
        <v>1.2517</v>
      </c>
    </row>
    <row r="5877" spans="1:2" x14ac:dyDescent="0.2">
      <c r="A5877" s="57">
        <v>38012</v>
      </c>
      <c r="B5877">
        <v>1.2575000000000001</v>
      </c>
    </row>
    <row r="5878" spans="1:2" x14ac:dyDescent="0.2">
      <c r="A5878" s="57">
        <v>38011</v>
      </c>
    </row>
    <row r="5879" spans="1:2" x14ac:dyDescent="0.2">
      <c r="A5879" s="57">
        <v>38010</v>
      </c>
    </row>
    <row r="5880" spans="1:2" x14ac:dyDescent="0.2">
      <c r="A5880" s="57">
        <v>38009</v>
      </c>
      <c r="B5880">
        <v>1.2692000000000001</v>
      </c>
    </row>
    <row r="5881" spans="1:2" x14ac:dyDescent="0.2">
      <c r="A5881" s="57">
        <v>38008</v>
      </c>
      <c r="B5881">
        <v>1.2709999999999999</v>
      </c>
    </row>
    <row r="5882" spans="1:2" x14ac:dyDescent="0.2">
      <c r="A5882" s="57">
        <v>38007</v>
      </c>
      <c r="B5882">
        <v>1.2606999999999999</v>
      </c>
    </row>
    <row r="5883" spans="1:2" x14ac:dyDescent="0.2">
      <c r="A5883" s="57">
        <v>38006</v>
      </c>
      <c r="B5883">
        <v>1.2536</v>
      </c>
    </row>
    <row r="5884" spans="1:2" x14ac:dyDescent="0.2">
      <c r="A5884" s="57">
        <v>38005</v>
      </c>
      <c r="B5884">
        <v>1.2373000000000001</v>
      </c>
    </row>
    <row r="5885" spans="1:2" x14ac:dyDescent="0.2">
      <c r="A5885" s="57">
        <v>38004</v>
      </c>
    </row>
    <row r="5886" spans="1:2" x14ac:dyDescent="0.2">
      <c r="A5886" s="57">
        <v>38003</v>
      </c>
    </row>
    <row r="5887" spans="1:2" x14ac:dyDescent="0.2">
      <c r="A5887" s="57">
        <v>38002</v>
      </c>
      <c r="B5887">
        <v>1.2493000000000001</v>
      </c>
    </row>
    <row r="5888" spans="1:2" x14ac:dyDescent="0.2">
      <c r="A5888" s="57">
        <v>38001</v>
      </c>
      <c r="B5888">
        <v>1.2635000000000001</v>
      </c>
    </row>
    <row r="5889" spans="1:2" x14ac:dyDescent="0.2">
      <c r="A5889" s="57">
        <v>38000</v>
      </c>
      <c r="B5889">
        <v>1.2692000000000001</v>
      </c>
    </row>
    <row r="5890" spans="1:2" x14ac:dyDescent="0.2">
      <c r="A5890" s="57">
        <v>37999</v>
      </c>
      <c r="B5890">
        <v>1.2748999999999999</v>
      </c>
    </row>
    <row r="5891" spans="1:2" x14ac:dyDescent="0.2">
      <c r="A5891" s="57">
        <v>37998</v>
      </c>
      <c r="B5891">
        <v>1.2827999999999999</v>
      </c>
    </row>
    <row r="5892" spans="1:2" x14ac:dyDescent="0.2">
      <c r="A5892" s="57">
        <v>37997</v>
      </c>
    </row>
    <row r="5893" spans="1:2" x14ac:dyDescent="0.2">
      <c r="A5893" s="57">
        <v>37996</v>
      </c>
    </row>
    <row r="5894" spans="1:2" x14ac:dyDescent="0.2">
      <c r="A5894" s="57">
        <v>37995</v>
      </c>
      <c r="B5894">
        <v>1.2737000000000001</v>
      </c>
    </row>
    <row r="5895" spans="1:2" x14ac:dyDescent="0.2">
      <c r="A5895" s="57">
        <v>37994</v>
      </c>
      <c r="B5895">
        <v>1.2634000000000001</v>
      </c>
    </row>
    <row r="5896" spans="1:2" x14ac:dyDescent="0.2">
      <c r="A5896" s="57">
        <v>37993</v>
      </c>
      <c r="B5896">
        <v>1.2679</v>
      </c>
    </row>
    <row r="5897" spans="1:2" x14ac:dyDescent="0.2">
      <c r="A5897" s="57">
        <v>37992</v>
      </c>
      <c r="B5897">
        <v>1.2756000000000001</v>
      </c>
    </row>
    <row r="5898" spans="1:2" x14ac:dyDescent="0.2">
      <c r="A5898" s="57">
        <v>37991</v>
      </c>
      <c r="B5898">
        <v>1.2657</v>
      </c>
    </row>
    <row r="5899" spans="1:2" x14ac:dyDescent="0.2">
      <c r="A5899" s="57">
        <v>37990</v>
      </c>
    </row>
    <row r="5900" spans="1:2" x14ac:dyDescent="0.2">
      <c r="A5900" s="57">
        <v>37989</v>
      </c>
    </row>
    <row r="5901" spans="1:2" x14ac:dyDescent="0.2">
      <c r="A5901" s="57">
        <v>37988</v>
      </c>
      <c r="B5901">
        <v>1.2592000000000001</v>
      </c>
    </row>
    <row r="5902" spans="1:2" x14ac:dyDescent="0.2">
      <c r="A5902" s="57">
        <v>37987</v>
      </c>
    </row>
    <row r="5903" spans="1:2" x14ac:dyDescent="0.2">
      <c r="A5903" s="57">
        <v>37986</v>
      </c>
      <c r="B5903">
        <v>1.2629999999999999</v>
      </c>
    </row>
    <row r="5904" spans="1:2" x14ac:dyDescent="0.2">
      <c r="A5904" s="57">
        <v>37985</v>
      </c>
      <c r="B5904">
        <v>1.2496</v>
      </c>
    </row>
    <row r="5905" spans="1:2" x14ac:dyDescent="0.2">
      <c r="A5905" s="57">
        <v>37984</v>
      </c>
      <c r="B5905">
        <v>1.2499</v>
      </c>
    </row>
    <row r="5906" spans="1:2" x14ac:dyDescent="0.2">
      <c r="A5906" s="57">
        <v>37983</v>
      </c>
    </row>
    <row r="5907" spans="1:2" x14ac:dyDescent="0.2">
      <c r="A5907" s="57">
        <v>37982</v>
      </c>
    </row>
    <row r="5908" spans="1:2" x14ac:dyDescent="0.2">
      <c r="A5908" s="57">
        <v>37981</v>
      </c>
    </row>
    <row r="5909" spans="1:2" x14ac:dyDescent="0.2">
      <c r="A5909" s="57">
        <v>37980</v>
      </c>
    </row>
    <row r="5910" spans="1:2" x14ac:dyDescent="0.2">
      <c r="A5910" s="57">
        <v>37979</v>
      </c>
      <c r="B5910">
        <v>1.2406999999999999</v>
      </c>
    </row>
    <row r="5911" spans="1:2" x14ac:dyDescent="0.2">
      <c r="A5911" s="57">
        <v>37978</v>
      </c>
      <c r="B5911">
        <v>1.2392000000000001</v>
      </c>
    </row>
    <row r="5912" spans="1:2" x14ac:dyDescent="0.2">
      <c r="A5912" s="57">
        <v>37977</v>
      </c>
      <c r="B5912">
        <v>1.2434000000000001</v>
      </c>
    </row>
    <row r="5913" spans="1:2" x14ac:dyDescent="0.2">
      <c r="A5913" s="57">
        <v>37976</v>
      </c>
    </row>
    <row r="5914" spans="1:2" x14ac:dyDescent="0.2">
      <c r="A5914" s="57">
        <v>37975</v>
      </c>
    </row>
    <row r="5915" spans="1:2" x14ac:dyDescent="0.2">
      <c r="A5915" s="57">
        <v>37974</v>
      </c>
      <c r="B5915">
        <v>1.2418</v>
      </c>
    </row>
    <row r="5916" spans="1:2" x14ac:dyDescent="0.2">
      <c r="A5916" s="57">
        <v>37973</v>
      </c>
      <c r="B5916">
        <v>1.2403</v>
      </c>
    </row>
    <row r="5917" spans="1:2" x14ac:dyDescent="0.2">
      <c r="A5917" s="57">
        <v>37972</v>
      </c>
      <c r="B5917">
        <v>1.2337</v>
      </c>
    </row>
    <row r="5918" spans="1:2" x14ac:dyDescent="0.2">
      <c r="A5918" s="57">
        <v>37971</v>
      </c>
      <c r="B5918">
        <v>1.2339</v>
      </c>
    </row>
    <row r="5919" spans="1:2" x14ac:dyDescent="0.2">
      <c r="A5919" s="57">
        <v>37970</v>
      </c>
      <c r="B5919">
        <v>1.2230000000000001</v>
      </c>
    </row>
    <row r="5920" spans="1:2" x14ac:dyDescent="0.2">
      <c r="A5920" s="57">
        <v>37969</v>
      </c>
    </row>
    <row r="5921" spans="1:2" x14ac:dyDescent="0.2">
      <c r="A5921" s="57">
        <v>37968</v>
      </c>
    </row>
    <row r="5922" spans="1:2" x14ac:dyDescent="0.2">
      <c r="A5922" s="57">
        <v>37967</v>
      </c>
      <c r="B5922">
        <v>1.2254</v>
      </c>
    </row>
    <row r="5923" spans="1:2" x14ac:dyDescent="0.2">
      <c r="A5923" s="57">
        <v>37966</v>
      </c>
      <c r="B5923">
        <v>1.2186999999999999</v>
      </c>
    </row>
    <row r="5924" spans="1:2" x14ac:dyDescent="0.2">
      <c r="A5924" s="57">
        <v>37965</v>
      </c>
      <c r="B5924">
        <v>1.2239</v>
      </c>
    </row>
    <row r="5925" spans="1:2" x14ac:dyDescent="0.2">
      <c r="A5925" s="57">
        <v>37964</v>
      </c>
      <c r="B5925">
        <v>1.2258</v>
      </c>
    </row>
    <row r="5926" spans="1:2" x14ac:dyDescent="0.2">
      <c r="A5926" s="57">
        <v>37963</v>
      </c>
      <c r="B5926">
        <v>1.2218</v>
      </c>
    </row>
    <row r="5927" spans="1:2" x14ac:dyDescent="0.2">
      <c r="A5927" s="57">
        <v>37962</v>
      </c>
    </row>
    <row r="5928" spans="1:2" x14ac:dyDescent="0.2">
      <c r="A5928" s="57">
        <v>37961</v>
      </c>
    </row>
    <row r="5929" spans="1:2" x14ac:dyDescent="0.2">
      <c r="A5929" s="57">
        <v>37960</v>
      </c>
      <c r="B5929">
        <v>1.2087000000000001</v>
      </c>
    </row>
    <row r="5930" spans="1:2" x14ac:dyDescent="0.2">
      <c r="A5930" s="57">
        <v>37959</v>
      </c>
      <c r="B5930">
        <v>1.2074</v>
      </c>
    </row>
    <row r="5931" spans="1:2" x14ac:dyDescent="0.2">
      <c r="A5931" s="57">
        <v>37958</v>
      </c>
      <c r="B5931">
        <v>1.2101999999999999</v>
      </c>
    </row>
    <row r="5932" spans="1:2" x14ac:dyDescent="0.2">
      <c r="A5932" s="57">
        <v>37957</v>
      </c>
      <c r="B5932">
        <v>1.1975</v>
      </c>
    </row>
    <row r="5933" spans="1:2" x14ac:dyDescent="0.2">
      <c r="A5933" s="57">
        <v>37956</v>
      </c>
      <c r="B5933">
        <v>1.2019</v>
      </c>
    </row>
    <row r="5934" spans="1:2" x14ac:dyDescent="0.2">
      <c r="A5934" s="57">
        <v>37955</v>
      </c>
    </row>
    <row r="5935" spans="1:2" x14ac:dyDescent="0.2">
      <c r="A5935" s="57">
        <v>37954</v>
      </c>
    </row>
    <row r="5936" spans="1:2" x14ac:dyDescent="0.2">
      <c r="A5936" s="57">
        <v>37953</v>
      </c>
      <c r="B5936">
        <v>1.1994</v>
      </c>
    </row>
    <row r="5937" spans="1:2" x14ac:dyDescent="0.2">
      <c r="A5937" s="57">
        <v>37952</v>
      </c>
      <c r="B5937">
        <v>1.1901999999999999</v>
      </c>
    </row>
    <row r="5938" spans="1:2" x14ac:dyDescent="0.2">
      <c r="A5938" s="57">
        <v>37951</v>
      </c>
      <c r="B5938">
        <v>1.1828000000000001</v>
      </c>
    </row>
    <row r="5939" spans="1:2" x14ac:dyDescent="0.2">
      <c r="A5939" s="57">
        <v>37950</v>
      </c>
      <c r="B5939">
        <v>1.1766000000000001</v>
      </c>
    </row>
    <row r="5940" spans="1:2" x14ac:dyDescent="0.2">
      <c r="A5940" s="57">
        <v>37949</v>
      </c>
      <c r="B5940">
        <v>1.1822999999999999</v>
      </c>
    </row>
    <row r="5941" spans="1:2" x14ac:dyDescent="0.2">
      <c r="A5941" s="57">
        <v>37948</v>
      </c>
    </row>
    <row r="5942" spans="1:2" x14ac:dyDescent="0.2">
      <c r="A5942" s="57">
        <v>37947</v>
      </c>
    </row>
    <row r="5943" spans="1:2" x14ac:dyDescent="0.2">
      <c r="A5943" s="57">
        <v>37946</v>
      </c>
      <c r="B5943">
        <v>1.1899</v>
      </c>
    </row>
    <row r="5944" spans="1:2" x14ac:dyDescent="0.2">
      <c r="A5944" s="57">
        <v>37945</v>
      </c>
      <c r="B5944">
        <v>1.1909000000000001</v>
      </c>
    </row>
    <row r="5945" spans="1:2" x14ac:dyDescent="0.2">
      <c r="A5945" s="57">
        <v>37944</v>
      </c>
      <c r="B5945">
        <v>1.1910000000000001</v>
      </c>
    </row>
    <row r="5946" spans="1:2" x14ac:dyDescent="0.2">
      <c r="A5946" s="57">
        <v>37943</v>
      </c>
      <c r="B5946">
        <v>1.1778</v>
      </c>
    </row>
    <row r="5947" spans="1:2" x14ac:dyDescent="0.2">
      <c r="A5947" s="57">
        <v>37942</v>
      </c>
      <c r="B5947">
        <v>1.1801999999999999</v>
      </c>
    </row>
    <row r="5948" spans="1:2" x14ac:dyDescent="0.2">
      <c r="A5948" s="57">
        <v>37941</v>
      </c>
    </row>
    <row r="5949" spans="1:2" x14ac:dyDescent="0.2">
      <c r="A5949" s="57">
        <v>37940</v>
      </c>
    </row>
    <row r="5950" spans="1:2" x14ac:dyDescent="0.2">
      <c r="A5950" s="57">
        <v>37939</v>
      </c>
      <c r="B5950">
        <v>1.1765000000000001</v>
      </c>
    </row>
    <row r="5951" spans="1:2" x14ac:dyDescent="0.2">
      <c r="A5951" s="57">
        <v>37938</v>
      </c>
      <c r="B5951">
        <v>1.1679999999999999</v>
      </c>
    </row>
    <row r="5952" spans="1:2" x14ac:dyDescent="0.2">
      <c r="A5952" s="57">
        <v>37937</v>
      </c>
      <c r="B5952">
        <v>1.1599999999999999</v>
      </c>
    </row>
    <row r="5953" spans="1:2" x14ac:dyDescent="0.2">
      <c r="A5953" s="57">
        <v>37936</v>
      </c>
      <c r="B5953">
        <v>1.1496999999999999</v>
      </c>
    </row>
    <row r="5954" spans="1:2" x14ac:dyDescent="0.2">
      <c r="A5954" s="57">
        <v>37935</v>
      </c>
      <c r="B5954">
        <v>1.1483000000000001</v>
      </c>
    </row>
    <row r="5955" spans="1:2" x14ac:dyDescent="0.2">
      <c r="A5955" s="57">
        <v>37934</v>
      </c>
    </row>
    <row r="5956" spans="1:2" x14ac:dyDescent="0.2">
      <c r="A5956" s="57">
        <v>37933</v>
      </c>
    </row>
    <row r="5957" spans="1:2" x14ac:dyDescent="0.2">
      <c r="A5957" s="57">
        <v>37932</v>
      </c>
      <c r="B5957">
        <v>1.1424000000000001</v>
      </c>
    </row>
    <row r="5958" spans="1:2" x14ac:dyDescent="0.2">
      <c r="A5958" s="57">
        <v>37931</v>
      </c>
      <c r="B5958">
        <v>1.1449</v>
      </c>
    </row>
    <row r="5959" spans="1:2" x14ac:dyDescent="0.2">
      <c r="A5959" s="57">
        <v>37930</v>
      </c>
      <c r="B5959">
        <v>1.1473</v>
      </c>
    </row>
    <row r="5960" spans="1:2" x14ac:dyDescent="0.2">
      <c r="A5960" s="57">
        <v>37929</v>
      </c>
      <c r="B5960">
        <v>1.1468</v>
      </c>
    </row>
    <row r="5961" spans="1:2" x14ac:dyDescent="0.2">
      <c r="A5961" s="57">
        <v>37928</v>
      </c>
      <c r="B5961">
        <v>1.1589</v>
      </c>
    </row>
    <row r="5962" spans="1:2" x14ac:dyDescent="0.2">
      <c r="A5962" s="57">
        <v>37927</v>
      </c>
    </row>
    <row r="5963" spans="1:2" x14ac:dyDescent="0.2">
      <c r="A5963" s="57">
        <v>37926</v>
      </c>
    </row>
    <row r="5964" spans="1:2" x14ac:dyDescent="0.2">
      <c r="A5964" s="57">
        <v>37925</v>
      </c>
      <c r="B5964">
        <v>1.1621999999999999</v>
      </c>
    </row>
    <row r="5965" spans="1:2" x14ac:dyDescent="0.2">
      <c r="A5965" s="57">
        <v>37924</v>
      </c>
      <c r="B5965">
        <v>1.1736</v>
      </c>
    </row>
    <row r="5966" spans="1:2" x14ac:dyDescent="0.2">
      <c r="A5966" s="57">
        <v>37923</v>
      </c>
      <c r="B5966">
        <v>1.1684000000000001</v>
      </c>
    </row>
    <row r="5967" spans="1:2" x14ac:dyDescent="0.2">
      <c r="A5967" s="57">
        <v>37922</v>
      </c>
      <c r="B5967">
        <v>1.1673</v>
      </c>
    </row>
    <row r="5968" spans="1:2" x14ac:dyDescent="0.2">
      <c r="A5968" s="57">
        <v>37921</v>
      </c>
      <c r="B5968">
        <v>1.1748000000000001</v>
      </c>
    </row>
    <row r="5969" spans="1:2" x14ac:dyDescent="0.2">
      <c r="A5969" s="57">
        <v>37920</v>
      </c>
    </row>
    <row r="5970" spans="1:2" x14ac:dyDescent="0.2">
      <c r="A5970" s="57">
        <v>37919</v>
      </c>
    </row>
    <row r="5971" spans="1:2" x14ac:dyDescent="0.2">
      <c r="A5971" s="57">
        <v>37918</v>
      </c>
      <c r="B5971">
        <v>1.1780999999999999</v>
      </c>
    </row>
    <row r="5972" spans="1:2" x14ac:dyDescent="0.2">
      <c r="A5972" s="57">
        <v>37917</v>
      </c>
      <c r="B5972">
        <v>1.1786000000000001</v>
      </c>
    </row>
    <row r="5973" spans="1:2" x14ac:dyDescent="0.2">
      <c r="A5973" s="57">
        <v>37916</v>
      </c>
      <c r="B5973">
        <v>1.1694</v>
      </c>
    </row>
    <row r="5974" spans="1:2" x14ac:dyDescent="0.2">
      <c r="A5974" s="57">
        <v>37915</v>
      </c>
      <c r="B5974">
        <v>1.1623000000000001</v>
      </c>
    </row>
    <row r="5975" spans="1:2" x14ac:dyDescent="0.2">
      <c r="A5975" s="57">
        <v>37914</v>
      </c>
      <c r="B5975">
        <v>1.1629</v>
      </c>
    </row>
    <row r="5976" spans="1:2" x14ac:dyDescent="0.2">
      <c r="A5976" s="57">
        <v>37913</v>
      </c>
    </row>
    <row r="5977" spans="1:2" x14ac:dyDescent="0.2">
      <c r="A5977" s="57">
        <v>37912</v>
      </c>
    </row>
    <row r="5978" spans="1:2" x14ac:dyDescent="0.2">
      <c r="A5978" s="57">
        <v>37911</v>
      </c>
      <c r="B5978">
        <v>1.1578999999999999</v>
      </c>
    </row>
    <row r="5979" spans="1:2" x14ac:dyDescent="0.2">
      <c r="A5979" s="57">
        <v>37910</v>
      </c>
      <c r="B5979">
        <v>1.1615</v>
      </c>
    </row>
    <row r="5980" spans="1:2" x14ac:dyDescent="0.2">
      <c r="A5980" s="57">
        <v>37909</v>
      </c>
      <c r="B5980">
        <v>1.1669</v>
      </c>
    </row>
    <row r="5981" spans="1:2" x14ac:dyDescent="0.2">
      <c r="A5981" s="57">
        <v>37908</v>
      </c>
      <c r="B5981">
        <v>1.1634</v>
      </c>
    </row>
    <row r="5982" spans="1:2" x14ac:dyDescent="0.2">
      <c r="A5982" s="57">
        <v>37907</v>
      </c>
      <c r="B5982">
        <v>1.1688000000000001</v>
      </c>
    </row>
    <row r="5983" spans="1:2" x14ac:dyDescent="0.2">
      <c r="A5983" s="57">
        <v>37906</v>
      </c>
    </row>
    <row r="5984" spans="1:2" x14ac:dyDescent="0.2">
      <c r="A5984" s="57">
        <v>37905</v>
      </c>
    </row>
    <row r="5985" spans="1:2" x14ac:dyDescent="0.2">
      <c r="A5985" s="57">
        <v>37904</v>
      </c>
      <c r="B5985">
        <v>1.1788000000000001</v>
      </c>
    </row>
    <row r="5986" spans="1:2" x14ac:dyDescent="0.2">
      <c r="A5986" s="57">
        <v>37903</v>
      </c>
      <c r="B5986">
        <v>1.1788000000000001</v>
      </c>
    </row>
    <row r="5987" spans="1:2" x14ac:dyDescent="0.2">
      <c r="A5987" s="57">
        <v>37902</v>
      </c>
      <c r="B5987">
        <v>1.1780999999999999</v>
      </c>
    </row>
    <row r="5988" spans="1:2" x14ac:dyDescent="0.2">
      <c r="A5988" s="57">
        <v>37901</v>
      </c>
      <c r="B5988">
        <v>1.1768000000000001</v>
      </c>
    </row>
    <row r="5989" spans="1:2" x14ac:dyDescent="0.2">
      <c r="A5989" s="57">
        <v>37900</v>
      </c>
      <c r="B5989">
        <v>1.1578999999999999</v>
      </c>
    </row>
    <row r="5990" spans="1:2" x14ac:dyDescent="0.2">
      <c r="A5990" s="57">
        <v>37899</v>
      </c>
    </row>
    <row r="5991" spans="1:2" x14ac:dyDescent="0.2">
      <c r="A5991" s="57">
        <v>37898</v>
      </c>
    </row>
    <row r="5992" spans="1:2" x14ac:dyDescent="0.2">
      <c r="A5992" s="57">
        <v>37897</v>
      </c>
      <c r="B5992">
        <v>1.1686000000000001</v>
      </c>
    </row>
    <row r="5993" spans="1:2" x14ac:dyDescent="0.2">
      <c r="A5993" s="57">
        <v>37896</v>
      </c>
      <c r="B5993">
        <v>1.1692</v>
      </c>
    </row>
    <row r="5994" spans="1:2" x14ac:dyDescent="0.2">
      <c r="A5994" s="57">
        <v>37895</v>
      </c>
      <c r="B5994">
        <v>1.1671</v>
      </c>
    </row>
    <row r="5995" spans="1:2" x14ac:dyDescent="0.2">
      <c r="A5995" s="57">
        <v>37894</v>
      </c>
      <c r="B5995">
        <v>1.1652</v>
      </c>
    </row>
    <row r="5996" spans="1:2" x14ac:dyDescent="0.2">
      <c r="A5996" s="57">
        <v>37893</v>
      </c>
      <c r="B5996">
        <v>1.1413</v>
      </c>
    </row>
    <row r="5997" spans="1:2" x14ac:dyDescent="0.2">
      <c r="A5997" s="57">
        <v>37892</v>
      </c>
    </row>
    <row r="5998" spans="1:2" x14ac:dyDescent="0.2">
      <c r="A5998" s="57">
        <v>37891</v>
      </c>
    </row>
    <row r="5999" spans="1:2" x14ac:dyDescent="0.2">
      <c r="A5999" s="57">
        <v>37890</v>
      </c>
      <c r="B5999">
        <v>1.1487000000000001</v>
      </c>
    </row>
    <row r="6000" spans="1:2" x14ac:dyDescent="0.2">
      <c r="A6000" s="57">
        <v>37889</v>
      </c>
      <c r="B6000">
        <v>1.1493</v>
      </c>
    </row>
    <row r="6001" spans="1:2" x14ac:dyDescent="0.2">
      <c r="A6001" s="57">
        <v>37888</v>
      </c>
      <c r="B6001">
        <v>1.1466000000000001</v>
      </c>
    </row>
    <row r="6002" spans="1:2" x14ac:dyDescent="0.2">
      <c r="A6002" s="57">
        <v>37887</v>
      </c>
      <c r="B6002">
        <v>1.1464000000000001</v>
      </c>
    </row>
    <row r="6003" spans="1:2" x14ac:dyDescent="0.2">
      <c r="A6003" s="57">
        <v>37886</v>
      </c>
      <c r="B6003">
        <v>1.1468</v>
      </c>
    </row>
    <row r="6004" spans="1:2" x14ac:dyDescent="0.2">
      <c r="A6004" s="57">
        <v>37885</v>
      </c>
    </row>
    <row r="6005" spans="1:2" x14ac:dyDescent="0.2">
      <c r="A6005" s="57">
        <v>37884</v>
      </c>
    </row>
    <row r="6006" spans="1:2" x14ac:dyDescent="0.2">
      <c r="A6006" s="57">
        <v>37883</v>
      </c>
      <c r="B6006">
        <v>1.1312</v>
      </c>
    </row>
    <row r="6007" spans="1:2" x14ac:dyDescent="0.2">
      <c r="A6007" s="57">
        <v>37882</v>
      </c>
      <c r="B6007">
        <v>1.129</v>
      </c>
    </row>
    <row r="6008" spans="1:2" x14ac:dyDescent="0.2">
      <c r="A6008" s="57">
        <v>37881</v>
      </c>
      <c r="B6008">
        <v>1.1212</v>
      </c>
    </row>
    <row r="6009" spans="1:2" x14ac:dyDescent="0.2">
      <c r="A6009" s="57">
        <v>37880</v>
      </c>
      <c r="B6009">
        <v>1.1234999999999999</v>
      </c>
    </row>
    <row r="6010" spans="1:2" x14ac:dyDescent="0.2">
      <c r="A6010" s="57">
        <v>37879</v>
      </c>
      <c r="B6010">
        <v>1.1281000000000001</v>
      </c>
    </row>
    <row r="6011" spans="1:2" x14ac:dyDescent="0.2">
      <c r="A6011" s="57">
        <v>37878</v>
      </c>
    </row>
    <row r="6012" spans="1:2" x14ac:dyDescent="0.2">
      <c r="A6012" s="57">
        <v>37877</v>
      </c>
    </row>
    <row r="6013" spans="1:2" x14ac:dyDescent="0.2">
      <c r="A6013" s="57">
        <v>37876</v>
      </c>
      <c r="B6013">
        <v>1.1172</v>
      </c>
    </row>
    <row r="6014" spans="1:2" x14ac:dyDescent="0.2">
      <c r="A6014" s="57">
        <v>37875</v>
      </c>
      <c r="B6014">
        <v>1.1216999999999999</v>
      </c>
    </row>
    <row r="6015" spans="1:2" x14ac:dyDescent="0.2">
      <c r="A6015" s="57">
        <v>37874</v>
      </c>
      <c r="B6015">
        <v>1.1172</v>
      </c>
    </row>
    <row r="6016" spans="1:2" x14ac:dyDescent="0.2">
      <c r="A6016" s="57">
        <v>37873</v>
      </c>
      <c r="B6016">
        <v>1.1134999999999999</v>
      </c>
    </row>
    <row r="6017" spans="1:2" x14ac:dyDescent="0.2">
      <c r="A6017" s="57">
        <v>37872</v>
      </c>
      <c r="B6017">
        <v>1.1071</v>
      </c>
    </row>
    <row r="6018" spans="1:2" x14ac:dyDescent="0.2">
      <c r="A6018" s="57">
        <v>37871</v>
      </c>
    </row>
    <row r="6019" spans="1:2" x14ac:dyDescent="0.2">
      <c r="A6019" s="57">
        <v>37870</v>
      </c>
    </row>
    <row r="6020" spans="1:2" x14ac:dyDescent="0.2">
      <c r="A6020" s="57">
        <v>37869</v>
      </c>
      <c r="B6020">
        <v>1.0923</v>
      </c>
    </row>
    <row r="6021" spans="1:2" x14ac:dyDescent="0.2">
      <c r="A6021" s="57">
        <v>37868</v>
      </c>
      <c r="B6021">
        <v>1.0818000000000001</v>
      </c>
    </row>
    <row r="6022" spans="1:2" x14ac:dyDescent="0.2">
      <c r="A6022" s="57">
        <v>37867</v>
      </c>
      <c r="B6022">
        <v>1.0783</v>
      </c>
    </row>
    <row r="6023" spans="1:2" x14ac:dyDescent="0.2">
      <c r="A6023" s="57">
        <v>37866</v>
      </c>
      <c r="B6023">
        <v>1.0849</v>
      </c>
    </row>
    <row r="6024" spans="1:2" x14ac:dyDescent="0.2">
      <c r="A6024" s="57">
        <v>37865</v>
      </c>
      <c r="B6024">
        <v>1.0965</v>
      </c>
    </row>
    <row r="6025" spans="1:2" x14ac:dyDescent="0.2">
      <c r="A6025" s="57">
        <v>37864</v>
      </c>
    </row>
    <row r="6026" spans="1:2" x14ac:dyDescent="0.2">
      <c r="A6026" s="57">
        <v>37863</v>
      </c>
    </row>
    <row r="6027" spans="1:2" x14ac:dyDescent="0.2">
      <c r="A6027" s="57">
        <v>37862</v>
      </c>
      <c r="B6027">
        <v>1.0927</v>
      </c>
    </row>
    <row r="6028" spans="1:2" x14ac:dyDescent="0.2">
      <c r="A6028" s="57">
        <v>37861</v>
      </c>
      <c r="B6028">
        <v>1.0828</v>
      </c>
    </row>
    <row r="6029" spans="1:2" x14ac:dyDescent="0.2">
      <c r="A6029" s="57">
        <v>37860</v>
      </c>
      <c r="B6029">
        <v>1.0907</v>
      </c>
    </row>
    <row r="6030" spans="1:2" x14ac:dyDescent="0.2">
      <c r="A6030" s="57">
        <v>37859</v>
      </c>
      <c r="B6030">
        <v>1.0815999999999999</v>
      </c>
    </row>
    <row r="6031" spans="1:2" x14ac:dyDescent="0.2">
      <c r="A6031" s="57">
        <v>37858</v>
      </c>
      <c r="B6031">
        <v>1.0888</v>
      </c>
    </row>
    <row r="6032" spans="1:2" x14ac:dyDescent="0.2">
      <c r="A6032" s="57">
        <v>37857</v>
      </c>
    </row>
    <row r="6033" spans="1:2" x14ac:dyDescent="0.2">
      <c r="A6033" s="57">
        <v>37856</v>
      </c>
    </row>
    <row r="6034" spans="1:2" x14ac:dyDescent="0.2">
      <c r="A6034" s="57">
        <v>37855</v>
      </c>
      <c r="B6034">
        <v>1.0893999999999999</v>
      </c>
    </row>
    <row r="6035" spans="1:2" x14ac:dyDescent="0.2">
      <c r="A6035" s="57">
        <v>37854</v>
      </c>
      <c r="B6035">
        <v>1.1009</v>
      </c>
    </row>
    <row r="6036" spans="1:2" x14ac:dyDescent="0.2">
      <c r="A6036" s="57">
        <v>37853</v>
      </c>
      <c r="B6036">
        <v>1.1109</v>
      </c>
    </row>
    <row r="6037" spans="1:2" x14ac:dyDescent="0.2">
      <c r="A6037" s="57">
        <v>37852</v>
      </c>
      <c r="B6037">
        <v>1.1065</v>
      </c>
    </row>
    <row r="6038" spans="1:2" x14ac:dyDescent="0.2">
      <c r="A6038" s="57">
        <v>37851</v>
      </c>
      <c r="B6038">
        <v>1.1188</v>
      </c>
    </row>
    <row r="6039" spans="1:2" x14ac:dyDescent="0.2">
      <c r="A6039" s="57">
        <v>37850</v>
      </c>
    </row>
    <row r="6040" spans="1:2" x14ac:dyDescent="0.2">
      <c r="A6040" s="57">
        <v>37849</v>
      </c>
    </row>
    <row r="6041" spans="1:2" x14ac:dyDescent="0.2">
      <c r="A6041" s="57">
        <v>37848</v>
      </c>
      <c r="B6041">
        <v>1.1247</v>
      </c>
    </row>
    <row r="6042" spans="1:2" x14ac:dyDescent="0.2">
      <c r="A6042" s="57">
        <v>37847</v>
      </c>
      <c r="B6042">
        <v>1.127</v>
      </c>
    </row>
    <row r="6043" spans="1:2" x14ac:dyDescent="0.2">
      <c r="A6043" s="57">
        <v>37846</v>
      </c>
      <c r="B6043">
        <v>1.1276999999999999</v>
      </c>
    </row>
    <row r="6044" spans="1:2" x14ac:dyDescent="0.2">
      <c r="A6044" s="57">
        <v>37845</v>
      </c>
      <c r="B6044">
        <v>1.1312</v>
      </c>
    </row>
    <row r="6045" spans="1:2" x14ac:dyDescent="0.2">
      <c r="A6045" s="57">
        <v>37844</v>
      </c>
      <c r="B6045">
        <v>1.1294999999999999</v>
      </c>
    </row>
    <row r="6046" spans="1:2" x14ac:dyDescent="0.2">
      <c r="A6046" s="57">
        <v>37843</v>
      </c>
    </row>
    <row r="6047" spans="1:2" x14ac:dyDescent="0.2">
      <c r="A6047" s="57">
        <v>37842</v>
      </c>
    </row>
    <row r="6048" spans="1:2" x14ac:dyDescent="0.2">
      <c r="A6048" s="57">
        <v>37841</v>
      </c>
      <c r="B6048">
        <v>1.1326000000000001</v>
      </c>
    </row>
    <row r="6049" spans="1:2" x14ac:dyDescent="0.2">
      <c r="A6049" s="57">
        <v>37840</v>
      </c>
      <c r="B6049">
        <v>1.1353</v>
      </c>
    </row>
    <row r="6050" spans="1:2" x14ac:dyDescent="0.2">
      <c r="A6050" s="57">
        <v>37839</v>
      </c>
      <c r="B6050">
        <v>1.1392</v>
      </c>
    </row>
    <row r="6051" spans="1:2" x14ac:dyDescent="0.2">
      <c r="A6051" s="57">
        <v>37838</v>
      </c>
      <c r="B6051">
        <v>1.1333</v>
      </c>
    </row>
    <row r="6052" spans="1:2" x14ac:dyDescent="0.2">
      <c r="A6052" s="57">
        <v>37837</v>
      </c>
      <c r="B6052">
        <v>1.1307</v>
      </c>
    </row>
    <row r="6053" spans="1:2" x14ac:dyDescent="0.2">
      <c r="A6053" s="57">
        <v>37836</v>
      </c>
    </row>
    <row r="6054" spans="1:2" x14ac:dyDescent="0.2">
      <c r="A6054" s="57">
        <v>37835</v>
      </c>
    </row>
    <row r="6055" spans="1:2" x14ac:dyDescent="0.2">
      <c r="A6055" s="57">
        <v>37834</v>
      </c>
      <c r="B6055">
        <v>1.1169</v>
      </c>
    </row>
    <row r="6056" spans="1:2" x14ac:dyDescent="0.2">
      <c r="A6056" s="57">
        <v>37833</v>
      </c>
      <c r="B6056">
        <v>1.1317999999999999</v>
      </c>
    </row>
    <row r="6057" spans="1:2" x14ac:dyDescent="0.2">
      <c r="A6057" s="57">
        <v>37832</v>
      </c>
      <c r="B6057">
        <v>1.1419999999999999</v>
      </c>
    </row>
    <row r="6058" spans="1:2" x14ac:dyDescent="0.2">
      <c r="A6058" s="57">
        <v>37831</v>
      </c>
      <c r="B6058">
        <v>1.1462000000000001</v>
      </c>
    </row>
    <row r="6059" spans="1:2" x14ac:dyDescent="0.2">
      <c r="A6059" s="57">
        <v>37830</v>
      </c>
      <c r="B6059">
        <v>1.1489</v>
      </c>
    </row>
    <row r="6060" spans="1:2" x14ac:dyDescent="0.2">
      <c r="A6060" s="57">
        <v>37829</v>
      </c>
    </row>
    <row r="6061" spans="1:2" x14ac:dyDescent="0.2">
      <c r="A6061" s="57">
        <v>37828</v>
      </c>
    </row>
    <row r="6062" spans="1:2" x14ac:dyDescent="0.2">
      <c r="A6062" s="57">
        <v>37827</v>
      </c>
      <c r="B6062">
        <v>1.1476999999999999</v>
      </c>
    </row>
    <row r="6063" spans="1:2" x14ac:dyDescent="0.2">
      <c r="A6063" s="57">
        <v>37826</v>
      </c>
      <c r="B6063">
        <v>1.1467000000000001</v>
      </c>
    </row>
    <row r="6064" spans="1:2" x14ac:dyDescent="0.2">
      <c r="A6064" s="57">
        <v>37825</v>
      </c>
      <c r="B6064">
        <v>1.1400999999999999</v>
      </c>
    </row>
    <row r="6065" spans="1:2" x14ac:dyDescent="0.2">
      <c r="A6065" s="57">
        <v>37824</v>
      </c>
      <c r="B6065">
        <v>1.1343000000000001</v>
      </c>
    </row>
    <row r="6066" spans="1:2" x14ac:dyDescent="0.2">
      <c r="A6066" s="57">
        <v>37823</v>
      </c>
      <c r="B6066">
        <v>1.1284000000000001</v>
      </c>
    </row>
    <row r="6067" spans="1:2" x14ac:dyDescent="0.2">
      <c r="A6067" s="57">
        <v>37822</v>
      </c>
    </row>
    <row r="6068" spans="1:2" x14ac:dyDescent="0.2">
      <c r="A6068" s="57">
        <v>37821</v>
      </c>
    </row>
    <row r="6069" spans="1:2" x14ac:dyDescent="0.2">
      <c r="A6069" s="57">
        <v>37820</v>
      </c>
      <c r="B6069">
        <v>1.1205000000000001</v>
      </c>
    </row>
    <row r="6070" spans="1:2" x14ac:dyDescent="0.2">
      <c r="A6070" s="57">
        <v>37819</v>
      </c>
      <c r="B6070">
        <v>1.1231</v>
      </c>
    </row>
    <row r="6071" spans="1:2" x14ac:dyDescent="0.2">
      <c r="A6071" s="57">
        <v>37818</v>
      </c>
      <c r="B6071">
        <v>1.1137999999999999</v>
      </c>
    </row>
    <row r="6072" spans="1:2" x14ac:dyDescent="0.2">
      <c r="A6072" s="57">
        <v>37817</v>
      </c>
      <c r="B6072">
        <v>1.1318999999999999</v>
      </c>
    </row>
    <row r="6073" spans="1:2" x14ac:dyDescent="0.2">
      <c r="A6073" s="57">
        <v>37816</v>
      </c>
      <c r="B6073">
        <v>1.1298999999999999</v>
      </c>
    </row>
    <row r="6074" spans="1:2" x14ac:dyDescent="0.2">
      <c r="A6074" s="57">
        <v>37815</v>
      </c>
    </row>
    <row r="6075" spans="1:2" x14ac:dyDescent="0.2">
      <c r="A6075" s="57">
        <v>37814</v>
      </c>
    </row>
    <row r="6076" spans="1:2" x14ac:dyDescent="0.2">
      <c r="A6076" s="57">
        <v>37813</v>
      </c>
      <c r="B6076">
        <v>1.1315</v>
      </c>
    </row>
    <row r="6077" spans="1:2" x14ac:dyDescent="0.2">
      <c r="A6077" s="57">
        <v>37812</v>
      </c>
      <c r="B6077">
        <v>1.1342000000000001</v>
      </c>
    </row>
    <row r="6078" spans="1:2" x14ac:dyDescent="0.2">
      <c r="A6078" s="57">
        <v>37811</v>
      </c>
      <c r="B6078">
        <v>1.1355</v>
      </c>
    </row>
    <row r="6079" spans="1:2" x14ac:dyDescent="0.2">
      <c r="A6079" s="57">
        <v>37810</v>
      </c>
      <c r="B6079">
        <v>1.1326000000000001</v>
      </c>
    </row>
    <row r="6080" spans="1:2" x14ac:dyDescent="0.2">
      <c r="A6080" s="57">
        <v>37809</v>
      </c>
      <c r="B6080">
        <v>1.1359999999999999</v>
      </c>
    </row>
    <row r="6081" spans="1:2" x14ac:dyDescent="0.2">
      <c r="A6081" s="57">
        <v>37808</v>
      </c>
    </row>
    <row r="6082" spans="1:2" x14ac:dyDescent="0.2">
      <c r="A6082" s="57">
        <v>37807</v>
      </c>
    </row>
    <row r="6083" spans="1:2" x14ac:dyDescent="0.2">
      <c r="A6083" s="57">
        <v>37806</v>
      </c>
      <c r="B6083">
        <v>1.1466000000000001</v>
      </c>
    </row>
    <row r="6084" spans="1:2" x14ac:dyDescent="0.2">
      <c r="A6084" s="57">
        <v>37805</v>
      </c>
      <c r="B6084">
        <v>1.1456999999999999</v>
      </c>
    </row>
    <row r="6085" spans="1:2" x14ac:dyDescent="0.2">
      <c r="A6085" s="57">
        <v>37804</v>
      </c>
      <c r="B6085">
        <v>1.1535</v>
      </c>
    </row>
    <row r="6086" spans="1:2" x14ac:dyDescent="0.2">
      <c r="A6086" s="57">
        <v>37803</v>
      </c>
      <c r="B6086">
        <v>1.1543000000000001</v>
      </c>
    </row>
    <row r="6087" spans="1:2" x14ac:dyDescent="0.2">
      <c r="A6087" s="57">
        <v>37802</v>
      </c>
      <c r="B6087">
        <v>1.1427</v>
      </c>
    </row>
    <row r="6088" spans="1:2" x14ac:dyDescent="0.2">
      <c r="A6088" s="57">
        <v>37801</v>
      </c>
    </row>
    <row r="6089" spans="1:2" x14ac:dyDescent="0.2">
      <c r="A6089" s="57">
        <v>37800</v>
      </c>
    </row>
    <row r="6090" spans="1:2" x14ac:dyDescent="0.2">
      <c r="A6090" s="57">
        <v>37799</v>
      </c>
      <c r="B6090">
        <v>1.1413</v>
      </c>
    </row>
    <row r="6091" spans="1:2" x14ac:dyDescent="0.2">
      <c r="A6091" s="57">
        <v>37798</v>
      </c>
      <c r="B6091">
        <v>1.1432</v>
      </c>
    </row>
    <row r="6092" spans="1:2" x14ac:dyDescent="0.2">
      <c r="A6092" s="57">
        <v>37797</v>
      </c>
      <c r="B6092">
        <v>1.1551</v>
      </c>
    </row>
    <row r="6093" spans="1:2" x14ac:dyDescent="0.2">
      <c r="A6093" s="57">
        <v>37796</v>
      </c>
      <c r="B6093">
        <v>1.1565000000000001</v>
      </c>
    </row>
    <row r="6094" spans="1:2" x14ac:dyDescent="0.2">
      <c r="A6094" s="57">
        <v>37795</v>
      </c>
      <c r="B6094">
        <v>1.1538999999999999</v>
      </c>
    </row>
    <row r="6095" spans="1:2" x14ac:dyDescent="0.2">
      <c r="A6095" s="57">
        <v>37794</v>
      </c>
    </row>
    <row r="6096" spans="1:2" x14ac:dyDescent="0.2">
      <c r="A6096" s="57">
        <v>37793</v>
      </c>
    </row>
    <row r="6097" spans="1:2" x14ac:dyDescent="0.2">
      <c r="A6097" s="57">
        <v>37792</v>
      </c>
      <c r="B6097">
        <v>1.1655</v>
      </c>
    </row>
    <row r="6098" spans="1:2" x14ac:dyDescent="0.2">
      <c r="A6098" s="57">
        <v>37791</v>
      </c>
      <c r="B6098">
        <v>1.1655</v>
      </c>
    </row>
    <row r="6099" spans="1:2" x14ac:dyDescent="0.2">
      <c r="A6099" s="57">
        <v>37790</v>
      </c>
      <c r="B6099">
        <v>1.1698999999999999</v>
      </c>
    </row>
    <row r="6100" spans="1:2" x14ac:dyDescent="0.2">
      <c r="A6100" s="57">
        <v>37789</v>
      </c>
      <c r="B6100">
        <v>1.1797</v>
      </c>
    </row>
    <row r="6101" spans="1:2" x14ac:dyDescent="0.2">
      <c r="A6101" s="57">
        <v>37788</v>
      </c>
      <c r="B6101">
        <v>1.1854</v>
      </c>
    </row>
    <row r="6102" spans="1:2" x14ac:dyDescent="0.2">
      <c r="A6102" s="57">
        <v>37787</v>
      </c>
    </row>
    <row r="6103" spans="1:2" x14ac:dyDescent="0.2">
      <c r="A6103" s="57">
        <v>37786</v>
      </c>
    </row>
    <row r="6104" spans="1:2" x14ac:dyDescent="0.2">
      <c r="A6104" s="57">
        <v>37785</v>
      </c>
      <c r="B6104">
        <v>1.1751</v>
      </c>
    </row>
    <row r="6105" spans="1:2" x14ac:dyDescent="0.2">
      <c r="A6105" s="57">
        <v>37784</v>
      </c>
      <c r="B6105">
        <v>1.1734</v>
      </c>
    </row>
    <row r="6106" spans="1:2" x14ac:dyDescent="0.2">
      <c r="A6106" s="57">
        <v>37783</v>
      </c>
      <c r="B6106">
        <v>1.1748000000000001</v>
      </c>
    </row>
    <row r="6107" spans="1:2" x14ac:dyDescent="0.2">
      <c r="A6107" s="57">
        <v>37782</v>
      </c>
      <c r="B6107">
        <v>1.1698999999999999</v>
      </c>
    </row>
    <row r="6108" spans="1:2" x14ac:dyDescent="0.2">
      <c r="A6108" s="57">
        <v>37781</v>
      </c>
      <c r="B6108">
        <v>1.1726000000000001</v>
      </c>
    </row>
    <row r="6109" spans="1:2" x14ac:dyDescent="0.2">
      <c r="A6109" s="57">
        <v>37780</v>
      </c>
    </row>
    <row r="6110" spans="1:2" x14ac:dyDescent="0.2">
      <c r="A6110" s="57">
        <v>37779</v>
      </c>
    </row>
    <row r="6111" spans="1:2" x14ac:dyDescent="0.2">
      <c r="A6111" s="57">
        <v>37778</v>
      </c>
      <c r="B6111">
        <v>1.1813</v>
      </c>
    </row>
    <row r="6112" spans="1:2" x14ac:dyDescent="0.2">
      <c r="A6112" s="57">
        <v>37777</v>
      </c>
      <c r="B6112">
        <v>1.1775</v>
      </c>
    </row>
    <row r="6113" spans="1:2" x14ac:dyDescent="0.2">
      <c r="A6113" s="57">
        <v>37776</v>
      </c>
      <c r="B6113">
        <v>1.1691</v>
      </c>
    </row>
    <row r="6114" spans="1:2" x14ac:dyDescent="0.2">
      <c r="A6114" s="57">
        <v>37775</v>
      </c>
      <c r="B6114">
        <v>1.1722999999999999</v>
      </c>
    </row>
    <row r="6115" spans="1:2" x14ac:dyDescent="0.2">
      <c r="A6115" s="57">
        <v>37774</v>
      </c>
      <c r="B6115">
        <v>1.1672</v>
      </c>
    </row>
    <row r="6116" spans="1:2" x14ac:dyDescent="0.2">
      <c r="A6116" s="57">
        <v>37773</v>
      </c>
    </row>
    <row r="6117" spans="1:2" x14ac:dyDescent="0.2">
      <c r="A6117" s="57">
        <v>37772</v>
      </c>
    </row>
    <row r="6118" spans="1:2" x14ac:dyDescent="0.2">
      <c r="A6118" s="57">
        <v>37771</v>
      </c>
      <c r="B6118">
        <v>1.1821999999999999</v>
      </c>
    </row>
    <row r="6119" spans="1:2" x14ac:dyDescent="0.2">
      <c r="A6119" s="57">
        <v>37770</v>
      </c>
      <c r="B6119">
        <v>1.1756</v>
      </c>
    </row>
    <row r="6120" spans="1:2" x14ac:dyDescent="0.2">
      <c r="A6120" s="57">
        <v>37769</v>
      </c>
      <c r="B6120">
        <v>1.1738</v>
      </c>
    </row>
    <row r="6121" spans="1:2" x14ac:dyDescent="0.2">
      <c r="A6121" s="57">
        <v>37768</v>
      </c>
      <c r="B6121">
        <v>1.1900999999999999</v>
      </c>
    </row>
    <row r="6122" spans="1:2" x14ac:dyDescent="0.2">
      <c r="A6122" s="57">
        <v>37767</v>
      </c>
      <c r="B6122">
        <v>1.1813</v>
      </c>
    </row>
    <row r="6123" spans="1:2" x14ac:dyDescent="0.2">
      <c r="A6123" s="57">
        <v>37766</v>
      </c>
    </row>
    <row r="6124" spans="1:2" x14ac:dyDescent="0.2">
      <c r="A6124" s="57">
        <v>37765</v>
      </c>
    </row>
    <row r="6125" spans="1:2" x14ac:dyDescent="0.2">
      <c r="A6125" s="57">
        <v>37764</v>
      </c>
      <c r="B6125">
        <v>1.179</v>
      </c>
    </row>
    <row r="6126" spans="1:2" x14ac:dyDescent="0.2">
      <c r="A6126" s="57">
        <v>37763</v>
      </c>
      <c r="B6126">
        <v>1.1719999999999999</v>
      </c>
    </row>
    <row r="6127" spans="1:2" x14ac:dyDescent="0.2">
      <c r="A6127" s="57">
        <v>37762</v>
      </c>
      <c r="B6127">
        <v>1.1689000000000001</v>
      </c>
    </row>
    <row r="6128" spans="1:2" x14ac:dyDescent="0.2">
      <c r="A6128" s="57">
        <v>37761</v>
      </c>
      <c r="B6128">
        <v>1.1644000000000001</v>
      </c>
    </row>
    <row r="6129" spans="1:2" x14ac:dyDescent="0.2">
      <c r="A6129" s="57">
        <v>37760</v>
      </c>
      <c r="B6129">
        <v>1.1652</v>
      </c>
    </row>
    <row r="6130" spans="1:2" x14ac:dyDescent="0.2">
      <c r="A6130" s="57">
        <v>37759</v>
      </c>
    </row>
    <row r="6131" spans="1:2" x14ac:dyDescent="0.2">
      <c r="A6131" s="57">
        <v>37758</v>
      </c>
    </row>
    <row r="6132" spans="1:2" x14ac:dyDescent="0.2">
      <c r="A6132" s="57">
        <v>37757</v>
      </c>
      <c r="B6132">
        <v>1.1492</v>
      </c>
    </row>
    <row r="6133" spans="1:2" x14ac:dyDescent="0.2">
      <c r="A6133" s="57">
        <v>37756</v>
      </c>
      <c r="B6133">
        <v>1.1457999999999999</v>
      </c>
    </row>
    <row r="6134" spans="1:2" x14ac:dyDescent="0.2">
      <c r="A6134" s="57">
        <v>37755</v>
      </c>
      <c r="B6134">
        <v>1.1498999999999999</v>
      </c>
    </row>
    <row r="6135" spans="1:2" x14ac:dyDescent="0.2">
      <c r="A6135" s="57">
        <v>37754</v>
      </c>
      <c r="B6135">
        <v>1.1517999999999999</v>
      </c>
    </row>
    <row r="6136" spans="1:2" x14ac:dyDescent="0.2">
      <c r="A6136" s="57">
        <v>37753</v>
      </c>
      <c r="B6136">
        <v>1.1597</v>
      </c>
    </row>
    <row r="6137" spans="1:2" x14ac:dyDescent="0.2">
      <c r="A6137" s="57">
        <v>37752</v>
      </c>
    </row>
    <row r="6138" spans="1:2" x14ac:dyDescent="0.2">
      <c r="A6138" s="57">
        <v>37751</v>
      </c>
    </row>
    <row r="6139" spans="1:2" x14ac:dyDescent="0.2">
      <c r="A6139" s="57">
        <v>37750</v>
      </c>
      <c r="B6139">
        <v>1.1466000000000001</v>
      </c>
    </row>
    <row r="6140" spans="1:2" x14ac:dyDescent="0.2">
      <c r="A6140" s="57">
        <v>37749</v>
      </c>
      <c r="B6140">
        <v>1.1435</v>
      </c>
    </row>
    <row r="6141" spans="1:2" x14ac:dyDescent="0.2">
      <c r="A6141" s="57">
        <v>37748</v>
      </c>
      <c r="B6141">
        <v>1.1427</v>
      </c>
    </row>
    <row r="6142" spans="1:2" x14ac:dyDescent="0.2">
      <c r="A6142" s="57">
        <v>37747</v>
      </c>
      <c r="B6142">
        <v>1.1344000000000001</v>
      </c>
    </row>
    <row r="6143" spans="1:2" x14ac:dyDescent="0.2">
      <c r="A6143" s="57">
        <v>37746</v>
      </c>
      <c r="B6143">
        <v>1.1217999999999999</v>
      </c>
    </row>
    <row r="6144" spans="1:2" x14ac:dyDescent="0.2">
      <c r="A6144" s="57">
        <v>37745</v>
      </c>
    </row>
    <row r="6145" spans="1:2" x14ac:dyDescent="0.2">
      <c r="A6145" s="57">
        <v>37744</v>
      </c>
    </row>
    <row r="6146" spans="1:2" x14ac:dyDescent="0.2">
      <c r="A6146" s="57">
        <v>37743</v>
      </c>
      <c r="B6146">
        <v>1.1238999999999999</v>
      </c>
    </row>
    <row r="6147" spans="1:2" x14ac:dyDescent="0.2">
      <c r="A6147" s="57">
        <v>37742</v>
      </c>
    </row>
    <row r="6148" spans="1:2" x14ac:dyDescent="0.2">
      <c r="A6148" s="57">
        <v>37741</v>
      </c>
      <c r="B6148">
        <v>1.1131</v>
      </c>
    </row>
    <row r="6149" spans="1:2" x14ac:dyDescent="0.2">
      <c r="A6149" s="57">
        <v>37740</v>
      </c>
      <c r="B6149">
        <v>1.0955999999999999</v>
      </c>
    </row>
    <row r="6150" spans="1:2" x14ac:dyDescent="0.2">
      <c r="A6150" s="57">
        <v>37739</v>
      </c>
      <c r="B6150">
        <v>1.1025</v>
      </c>
    </row>
    <row r="6151" spans="1:2" x14ac:dyDescent="0.2">
      <c r="A6151" s="57">
        <v>37738</v>
      </c>
    </row>
    <row r="6152" spans="1:2" x14ac:dyDescent="0.2">
      <c r="A6152" s="57">
        <v>37737</v>
      </c>
    </row>
    <row r="6153" spans="1:2" x14ac:dyDescent="0.2">
      <c r="A6153" s="57">
        <v>37736</v>
      </c>
      <c r="B6153">
        <v>1.0972999999999999</v>
      </c>
    </row>
    <row r="6154" spans="1:2" x14ac:dyDescent="0.2">
      <c r="A6154" s="57">
        <v>37735</v>
      </c>
      <c r="B6154">
        <v>1.1008</v>
      </c>
    </row>
    <row r="6155" spans="1:2" x14ac:dyDescent="0.2">
      <c r="A6155" s="57">
        <v>37734</v>
      </c>
      <c r="B6155">
        <v>1.0944</v>
      </c>
    </row>
    <row r="6156" spans="1:2" x14ac:dyDescent="0.2">
      <c r="A6156" s="57">
        <v>37733</v>
      </c>
      <c r="B6156">
        <v>1.0971</v>
      </c>
    </row>
    <row r="6157" spans="1:2" x14ac:dyDescent="0.2">
      <c r="A6157" s="57">
        <v>37732</v>
      </c>
    </row>
    <row r="6158" spans="1:2" x14ac:dyDescent="0.2">
      <c r="A6158" s="57">
        <v>37731</v>
      </c>
    </row>
    <row r="6159" spans="1:2" x14ac:dyDescent="0.2">
      <c r="A6159" s="57">
        <v>37730</v>
      </c>
    </row>
    <row r="6160" spans="1:2" x14ac:dyDescent="0.2">
      <c r="A6160" s="57">
        <v>37729</v>
      </c>
    </row>
    <row r="6161" spans="1:2" x14ac:dyDescent="0.2">
      <c r="A6161" s="57">
        <v>37728</v>
      </c>
      <c r="B6161">
        <v>1.0920000000000001</v>
      </c>
    </row>
    <row r="6162" spans="1:2" x14ac:dyDescent="0.2">
      <c r="A6162" s="57">
        <v>37727</v>
      </c>
      <c r="B6162">
        <v>1.0835999999999999</v>
      </c>
    </row>
    <row r="6163" spans="1:2" x14ac:dyDescent="0.2">
      <c r="A6163" s="57">
        <v>37726</v>
      </c>
      <c r="B6163">
        <v>1.0784</v>
      </c>
    </row>
    <row r="6164" spans="1:2" x14ac:dyDescent="0.2">
      <c r="A6164" s="57">
        <v>37725</v>
      </c>
      <c r="B6164">
        <v>1.0737000000000001</v>
      </c>
    </row>
    <row r="6165" spans="1:2" x14ac:dyDescent="0.2">
      <c r="A6165" s="57">
        <v>37724</v>
      </c>
    </row>
    <row r="6166" spans="1:2" x14ac:dyDescent="0.2">
      <c r="A6166" s="57">
        <v>37723</v>
      </c>
    </row>
    <row r="6167" spans="1:2" x14ac:dyDescent="0.2">
      <c r="A6167" s="57">
        <v>37722</v>
      </c>
      <c r="B6167">
        <v>1.0734999999999999</v>
      </c>
    </row>
    <row r="6168" spans="1:2" x14ac:dyDescent="0.2">
      <c r="A6168" s="57">
        <v>37721</v>
      </c>
      <c r="B6168">
        <v>1.0805</v>
      </c>
    </row>
    <row r="6169" spans="1:2" x14ac:dyDescent="0.2">
      <c r="A6169" s="57">
        <v>37720</v>
      </c>
      <c r="B6169">
        <v>1.0742</v>
      </c>
    </row>
    <row r="6170" spans="1:2" x14ac:dyDescent="0.2">
      <c r="A6170" s="57">
        <v>37719</v>
      </c>
      <c r="B6170">
        <v>1.0660000000000001</v>
      </c>
    </row>
    <row r="6171" spans="1:2" x14ac:dyDescent="0.2">
      <c r="A6171" s="57">
        <v>37718</v>
      </c>
      <c r="B6171">
        <v>1.0582</v>
      </c>
    </row>
    <row r="6172" spans="1:2" x14ac:dyDescent="0.2">
      <c r="A6172" s="57">
        <v>37717</v>
      </c>
    </row>
    <row r="6173" spans="1:2" x14ac:dyDescent="0.2">
      <c r="A6173" s="57">
        <v>37716</v>
      </c>
    </row>
    <row r="6174" spans="1:2" x14ac:dyDescent="0.2">
      <c r="A6174" s="57">
        <v>37715</v>
      </c>
      <c r="B6174">
        <v>1.0720000000000001</v>
      </c>
    </row>
    <row r="6175" spans="1:2" x14ac:dyDescent="0.2">
      <c r="A6175" s="57">
        <v>37714</v>
      </c>
      <c r="B6175">
        <v>1.0702</v>
      </c>
    </row>
    <row r="6176" spans="1:2" x14ac:dyDescent="0.2">
      <c r="A6176" s="57">
        <v>37713</v>
      </c>
      <c r="B6176">
        <v>1.083</v>
      </c>
    </row>
    <row r="6177" spans="1:2" x14ac:dyDescent="0.2">
      <c r="A6177" s="57">
        <v>37712</v>
      </c>
      <c r="B6177">
        <v>1.0891</v>
      </c>
    </row>
    <row r="6178" spans="1:2" x14ac:dyDescent="0.2">
      <c r="A6178" s="57">
        <v>37711</v>
      </c>
      <c r="B6178">
        <v>1.0894999999999999</v>
      </c>
    </row>
    <row r="6179" spans="1:2" x14ac:dyDescent="0.2">
      <c r="A6179" s="57">
        <v>37710</v>
      </c>
    </row>
    <row r="6180" spans="1:2" x14ac:dyDescent="0.2">
      <c r="A6180" s="57">
        <v>37709</v>
      </c>
    </row>
    <row r="6181" spans="1:2" x14ac:dyDescent="0.2">
      <c r="A6181" s="57">
        <v>37708</v>
      </c>
      <c r="B6181">
        <v>1.073</v>
      </c>
    </row>
    <row r="6182" spans="1:2" x14ac:dyDescent="0.2">
      <c r="A6182" s="57">
        <v>37707</v>
      </c>
      <c r="B6182">
        <v>1.0723</v>
      </c>
    </row>
    <row r="6183" spans="1:2" x14ac:dyDescent="0.2">
      <c r="A6183" s="57">
        <v>37706</v>
      </c>
      <c r="B6183">
        <v>1.0667</v>
      </c>
    </row>
    <row r="6184" spans="1:2" x14ac:dyDescent="0.2">
      <c r="A6184" s="57">
        <v>37705</v>
      </c>
      <c r="B6184">
        <v>1.0690999999999999</v>
      </c>
    </row>
    <row r="6185" spans="1:2" x14ac:dyDescent="0.2">
      <c r="A6185" s="57">
        <v>37704</v>
      </c>
      <c r="B6185">
        <v>1.0633999999999999</v>
      </c>
    </row>
    <row r="6186" spans="1:2" x14ac:dyDescent="0.2">
      <c r="A6186" s="57">
        <v>37703</v>
      </c>
    </row>
    <row r="6187" spans="1:2" x14ac:dyDescent="0.2">
      <c r="A6187" s="57">
        <v>37702</v>
      </c>
    </row>
    <row r="6188" spans="1:2" x14ac:dyDescent="0.2">
      <c r="A6188" s="57">
        <v>37701</v>
      </c>
      <c r="B6188">
        <v>1.0571999999999999</v>
      </c>
    </row>
    <row r="6189" spans="1:2" x14ac:dyDescent="0.2">
      <c r="A6189" s="57">
        <v>37700</v>
      </c>
      <c r="B6189">
        <v>1.0591999999999999</v>
      </c>
    </row>
    <row r="6190" spans="1:2" x14ac:dyDescent="0.2">
      <c r="A6190" s="57">
        <v>37699</v>
      </c>
      <c r="B6190">
        <v>1.0569999999999999</v>
      </c>
    </row>
    <row r="6191" spans="1:2" x14ac:dyDescent="0.2">
      <c r="A6191" s="57">
        <v>37698</v>
      </c>
      <c r="B6191">
        <v>1.0586</v>
      </c>
    </row>
    <row r="6192" spans="1:2" x14ac:dyDescent="0.2">
      <c r="A6192" s="57">
        <v>37697</v>
      </c>
      <c r="B6192">
        <v>1.0801000000000001</v>
      </c>
    </row>
    <row r="6193" spans="1:2" x14ac:dyDescent="0.2">
      <c r="A6193" s="57">
        <v>37696</v>
      </c>
    </row>
    <row r="6194" spans="1:2" x14ac:dyDescent="0.2">
      <c r="A6194" s="57">
        <v>37695</v>
      </c>
    </row>
    <row r="6195" spans="1:2" x14ac:dyDescent="0.2">
      <c r="A6195" s="57">
        <v>37694</v>
      </c>
      <c r="B6195">
        <v>1.0774999999999999</v>
      </c>
    </row>
    <row r="6196" spans="1:2" x14ac:dyDescent="0.2">
      <c r="A6196" s="57">
        <v>37693</v>
      </c>
      <c r="B6196">
        <v>1.0864</v>
      </c>
    </row>
    <row r="6197" spans="1:2" x14ac:dyDescent="0.2">
      <c r="A6197" s="57">
        <v>37692</v>
      </c>
      <c r="B6197">
        <v>1.1028</v>
      </c>
    </row>
    <row r="6198" spans="1:2" x14ac:dyDescent="0.2">
      <c r="A6198" s="57">
        <v>37691</v>
      </c>
      <c r="B6198">
        <v>1.1080000000000001</v>
      </c>
    </row>
    <row r="6199" spans="1:2" x14ac:dyDescent="0.2">
      <c r="A6199" s="57">
        <v>37690</v>
      </c>
      <c r="B6199">
        <v>1.1042000000000001</v>
      </c>
    </row>
    <row r="6200" spans="1:2" x14ac:dyDescent="0.2">
      <c r="A6200" s="57">
        <v>37689</v>
      </c>
    </row>
    <row r="6201" spans="1:2" x14ac:dyDescent="0.2">
      <c r="A6201" s="57">
        <v>37688</v>
      </c>
    </row>
    <row r="6202" spans="1:2" x14ac:dyDescent="0.2">
      <c r="A6202" s="57">
        <v>37687</v>
      </c>
      <c r="B6202">
        <v>1.1039000000000001</v>
      </c>
    </row>
    <row r="6203" spans="1:2" x14ac:dyDescent="0.2">
      <c r="A6203" s="57">
        <v>37686</v>
      </c>
      <c r="B6203">
        <v>1.0963000000000001</v>
      </c>
    </row>
    <row r="6204" spans="1:2" x14ac:dyDescent="0.2">
      <c r="A6204" s="57">
        <v>37685</v>
      </c>
      <c r="B6204">
        <v>1.0966</v>
      </c>
    </row>
    <row r="6205" spans="1:2" x14ac:dyDescent="0.2">
      <c r="A6205" s="57">
        <v>37684</v>
      </c>
      <c r="B6205">
        <v>1.0919000000000001</v>
      </c>
    </row>
    <row r="6206" spans="1:2" x14ac:dyDescent="0.2">
      <c r="A6206" s="57">
        <v>37683</v>
      </c>
      <c r="B6206">
        <v>1.08</v>
      </c>
    </row>
    <row r="6207" spans="1:2" x14ac:dyDescent="0.2">
      <c r="A6207" s="57">
        <v>37682</v>
      </c>
    </row>
    <row r="6208" spans="1:2" x14ac:dyDescent="0.2">
      <c r="A6208" s="57">
        <v>37681</v>
      </c>
    </row>
    <row r="6209" spans="1:2" x14ac:dyDescent="0.2">
      <c r="A6209" s="57">
        <v>37680</v>
      </c>
      <c r="B6209">
        <v>1.0782</v>
      </c>
    </row>
    <row r="6210" spans="1:2" x14ac:dyDescent="0.2">
      <c r="A6210" s="57">
        <v>37679</v>
      </c>
      <c r="B6210">
        <v>1.0822000000000001</v>
      </c>
    </row>
    <row r="6211" spans="1:2" x14ac:dyDescent="0.2">
      <c r="A6211" s="57">
        <v>37678</v>
      </c>
      <c r="B6211">
        <v>1.0752999999999999</v>
      </c>
    </row>
    <row r="6212" spans="1:2" x14ac:dyDescent="0.2">
      <c r="A6212" s="57">
        <v>37677</v>
      </c>
      <c r="B6212">
        <v>1.0773999999999999</v>
      </c>
    </row>
    <row r="6213" spans="1:2" x14ac:dyDescent="0.2">
      <c r="A6213" s="57">
        <v>37676</v>
      </c>
      <c r="B6213">
        <v>1.0721000000000001</v>
      </c>
    </row>
    <row r="6214" spans="1:2" x14ac:dyDescent="0.2">
      <c r="A6214" s="57">
        <v>37675</v>
      </c>
    </row>
    <row r="6215" spans="1:2" x14ac:dyDescent="0.2">
      <c r="A6215" s="57">
        <v>37674</v>
      </c>
    </row>
    <row r="6216" spans="1:2" x14ac:dyDescent="0.2">
      <c r="A6216" s="57">
        <v>37673</v>
      </c>
      <c r="B6216">
        <v>1.0838000000000001</v>
      </c>
    </row>
    <row r="6217" spans="1:2" x14ac:dyDescent="0.2">
      <c r="A6217" s="57">
        <v>37672</v>
      </c>
      <c r="B6217">
        <v>1.0763</v>
      </c>
    </row>
    <row r="6218" spans="1:2" x14ac:dyDescent="0.2">
      <c r="A6218" s="57">
        <v>37671</v>
      </c>
      <c r="B6218">
        <v>1.0717000000000001</v>
      </c>
    </row>
    <row r="6219" spans="1:2" x14ac:dyDescent="0.2">
      <c r="A6219" s="57">
        <v>37670</v>
      </c>
      <c r="B6219">
        <v>1.0713999999999999</v>
      </c>
    </row>
    <row r="6220" spans="1:2" x14ac:dyDescent="0.2">
      <c r="A6220" s="57">
        <v>37669</v>
      </c>
      <c r="B6220">
        <v>1.0716000000000001</v>
      </c>
    </row>
    <row r="6221" spans="1:2" x14ac:dyDescent="0.2">
      <c r="A6221" s="57">
        <v>37668</v>
      </c>
    </row>
    <row r="6222" spans="1:2" x14ac:dyDescent="0.2">
      <c r="A6222" s="57">
        <v>37667</v>
      </c>
    </row>
    <row r="6223" spans="1:2" x14ac:dyDescent="0.2">
      <c r="A6223" s="57">
        <v>37666</v>
      </c>
      <c r="B6223">
        <v>1.0792999999999999</v>
      </c>
    </row>
    <row r="6224" spans="1:2" x14ac:dyDescent="0.2">
      <c r="A6224" s="57">
        <v>37665</v>
      </c>
      <c r="B6224">
        <v>1.0758000000000001</v>
      </c>
    </row>
    <row r="6225" spans="1:2" x14ac:dyDescent="0.2">
      <c r="A6225" s="57">
        <v>37664</v>
      </c>
      <c r="B6225">
        <v>1.0730999999999999</v>
      </c>
    </row>
    <row r="6226" spans="1:2" x14ac:dyDescent="0.2">
      <c r="A6226" s="57">
        <v>37663</v>
      </c>
      <c r="B6226">
        <v>1.0706</v>
      </c>
    </row>
    <row r="6227" spans="1:2" x14ac:dyDescent="0.2">
      <c r="A6227" s="57">
        <v>37662</v>
      </c>
      <c r="B6227">
        <v>1.0808</v>
      </c>
    </row>
    <row r="6228" spans="1:2" x14ac:dyDescent="0.2">
      <c r="A6228" s="57">
        <v>37661</v>
      </c>
    </row>
    <row r="6229" spans="1:2" x14ac:dyDescent="0.2">
      <c r="A6229" s="57">
        <v>37660</v>
      </c>
    </row>
    <row r="6230" spans="1:2" x14ac:dyDescent="0.2">
      <c r="A6230" s="57">
        <v>37659</v>
      </c>
      <c r="B6230">
        <v>1.0789</v>
      </c>
    </row>
    <row r="6231" spans="1:2" x14ac:dyDescent="0.2">
      <c r="A6231" s="57">
        <v>37658</v>
      </c>
      <c r="B6231">
        <v>1.0812999999999999</v>
      </c>
    </row>
    <row r="6232" spans="1:2" x14ac:dyDescent="0.2">
      <c r="A6232" s="57">
        <v>37657</v>
      </c>
      <c r="B6232">
        <v>1.091</v>
      </c>
    </row>
    <row r="6233" spans="1:2" x14ac:dyDescent="0.2">
      <c r="A6233" s="57">
        <v>37656</v>
      </c>
      <c r="B6233">
        <v>1.0822000000000001</v>
      </c>
    </row>
    <row r="6234" spans="1:2" x14ac:dyDescent="0.2">
      <c r="A6234" s="57">
        <v>37655</v>
      </c>
      <c r="B6234">
        <v>1.0729</v>
      </c>
    </row>
    <row r="6235" spans="1:2" x14ac:dyDescent="0.2">
      <c r="A6235" s="57">
        <v>37654</v>
      </c>
    </row>
    <row r="6236" spans="1:2" x14ac:dyDescent="0.2">
      <c r="A6236" s="57">
        <v>37653</v>
      </c>
    </row>
    <row r="6237" spans="1:2" x14ac:dyDescent="0.2">
      <c r="A6237" s="57">
        <v>37652</v>
      </c>
      <c r="B6237">
        <v>1.0815999999999999</v>
      </c>
    </row>
    <row r="6238" spans="1:2" x14ac:dyDescent="0.2">
      <c r="A6238" s="57">
        <v>37651</v>
      </c>
      <c r="B6238">
        <v>1.0748</v>
      </c>
    </row>
    <row r="6239" spans="1:2" x14ac:dyDescent="0.2">
      <c r="A6239" s="57">
        <v>37650</v>
      </c>
      <c r="B6239">
        <v>1.0868</v>
      </c>
    </row>
    <row r="6240" spans="1:2" x14ac:dyDescent="0.2">
      <c r="A6240" s="57">
        <v>37649</v>
      </c>
      <c r="B6240">
        <v>1.0808</v>
      </c>
    </row>
    <row r="6241" spans="1:2" x14ac:dyDescent="0.2">
      <c r="A6241" s="57">
        <v>37648</v>
      </c>
      <c r="B6241">
        <v>1.087</v>
      </c>
    </row>
    <row r="6242" spans="1:2" x14ac:dyDescent="0.2">
      <c r="A6242" s="57">
        <v>37647</v>
      </c>
    </row>
    <row r="6243" spans="1:2" x14ac:dyDescent="0.2">
      <c r="A6243" s="57">
        <v>37646</v>
      </c>
    </row>
    <row r="6244" spans="1:2" x14ac:dyDescent="0.2">
      <c r="A6244" s="57">
        <v>37645</v>
      </c>
      <c r="B6244">
        <v>1.0784</v>
      </c>
    </row>
    <row r="6245" spans="1:2" x14ac:dyDescent="0.2">
      <c r="A6245" s="57">
        <v>37644</v>
      </c>
      <c r="B6245">
        <v>1.0757000000000001</v>
      </c>
    </row>
    <row r="6246" spans="1:2" x14ac:dyDescent="0.2">
      <c r="A6246" s="57">
        <v>37643</v>
      </c>
      <c r="B6246">
        <v>1.0718000000000001</v>
      </c>
    </row>
    <row r="6247" spans="1:2" x14ac:dyDescent="0.2">
      <c r="A6247" s="57">
        <v>37642</v>
      </c>
      <c r="B6247">
        <v>1.0652999999999999</v>
      </c>
    </row>
    <row r="6248" spans="1:2" x14ac:dyDescent="0.2">
      <c r="A6248" s="57">
        <v>37641</v>
      </c>
      <c r="B6248">
        <v>1.0652999999999999</v>
      </c>
    </row>
    <row r="6249" spans="1:2" x14ac:dyDescent="0.2">
      <c r="A6249" s="57">
        <v>37640</v>
      </c>
    </row>
    <row r="6250" spans="1:2" x14ac:dyDescent="0.2">
      <c r="A6250" s="57">
        <v>37639</v>
      </c>
    </row>
    <row r="6251" spans="1:2" x14ac:dyDescent="0.2">
      <c r="A6251" s="57">
        <v>37638</v>
      </c>
      <c r="B6251">
        <v>1.0651999999999999</v>
      </c>
    </row>
    <row r="6252" spans="1:2" x14ac:dyDescent="0.2">
      <c r="A6252" s="57">
        <v>37637</v>
      </c>
      <c r="B6252">
        <v>1.0564</v>
      </c>
    </row>
    <row r="6253" spans="1:2" x14ac:dyDescent="0.2">
      <c r="A6253" s="57">
        <v>37636</v>
      </c>
      <c r="B6253">
        <v>1.0526</v>
      </c>
    </row>
    <row r="6254" spans="1:2" x14ac:dyDescent="0.2">
      <c r="A6254" s="57">
        <v>37635</v>
      </c>
      <c r="B6254">
        <v>1.0577000000000001</v>
      </c>
    </row>
    <row r="6255" spans="1:2" x14ac:dyDescent="0.2">
      <c r="A6255" s="57">
        <v>37634</v>
      </c>
      <c r="B6255">
        <v>1.0548999999999999</v>
      </c>
    </row>
    <row r="6256" spans="1:2" x14ac:dyDescent="0.2">
      <c r="A6256" s="57">
        <v>37633</v>
      </c>
    </row>
    <row r="6257" spans="1:2" x14ac:dyDescent="0.2">
      <c r="A6257" s="57">
        <v>37632</v>
      </c>
    </row>
    <row r="6258" spans="1:2" x14ac:dyDescent="0.2">
      <c r="A6258" s="57">
        <v>37631</v>
      </c>
      <c r="B6258">
        <v>1.0503</v>
      </c>
    </row>
    <row r="6259" spans="1:2" x14ac:dyDescent="0.2">
      <c r="A6259" s="57">
        <v>37630</v>
      </c>
      <c r="B6259">
        <v>1.0507</v>
      </c>
    </row>
    <row r="6260" spans="1:2" x14ac:dyDescent="0.2">
      <c r="A6260" s="57">
        <v>37629</v>
      </c>
      <c r="B6260">
        <v>1.0377000000000001</v>
      </c>
    </row>
    <row r="6261" spans="1:2" x14ac:dyDescent="0.2">
      <c r="A6261" s="57">
        <v>37628</v>
      </c>
      <c r="B6261">
        <v>1.0425</v>
      </c>
    </row>
    <row r="6262" spans="1:2" x14ac:dyDescent="0.2">
      <c r="A6262" s="57">
        <v>37627</v>
      </c>
      <c r="B6262">
        <v>1.0488</v>
      </c>
    </row>
    <row r="6263" spans="1:2" x14ac:dyDescent="0.2">
      <c r="A6263" s="57">
        <v>37626</v>
      </c>
    </row>
    <row r="6264" spans="1:2" x14ac:dyDescent="0.2">
      <c r="A6264" s="57">
        <v>37625</v>
      </c>
    </row>
    <row r="6265" spans="1:2" x14ac:dyDescent="0.2">
      <c r="A6265" s="57">
        <v>37624</v>
      </c>
      <c r="B6265">
        <v>1.0391999999999999</v>
      </c>
    </row>
    <row r="6266" spans="1:2" x14ac:dyDescent="0.2">
      <c r="A6266" s="57">
        <v>37623</v>
      </c>
      <c r="B6266">
        <v>1.0446</v>
      </c>
    </row>
    <row r="6267" spans="1:2" x14ac:dyDescent="0.2">
      <c r="A6267" s="57">
        <v>37622</v>
      </c>
    </row>
    <row r="6268" spans="1:2" x14ac:dyDescent="0.2">
      <c r="A6268" s="57">
        <v>37621</v>
      </c>
      <c r="B6268">
        <v>1.0487</v>
      </c>
    </row>
    <row r="6269" spans="1:2" x14ac:dyDescent="0.2">
      <c r="A6269" s="57">
        <v>37620</v>
      </c>
      <c r="B6269">
        <v>1.0422</v>
      </c>
    </row>
    <row r="6270" spans="1:2" x14ac:dyDescent="0.2">
      <c r="A6270" s="57">
        <v>37619</v>
      </c>
    </row>
    <row r="6271" spans="1:2" x14ac:dyDescent="0.2">
      <c r="A6271" s="57">
        <v>37618</v>
      </c>
    </row>
    <row r="6272" spans="1:2" x14ac:dyDescent="0.2">
      <c r="A6272" s="57">
        <v>37617</v>
      </c>
      <c r="B6272">
        <v>1.0376000000000001</v>
      </c>
    </row>
    <row r="6273" spans="1:2" x14ac:dyDescent="0.2">
      <c r="A6273" s="57">
        <v>37616</v>
      </c>
    </row>
    <row r="6274" spans="1:2" x14ac:dyDescent="0.2">
      <c r="A6274" s="57">
        <v>37615</v>
      </c>
    </row>
    <row r="6275" spans="1:2" x14ac:dyDescent="0.2">
      <c r="A6275" s="57">
        <v>37614</v>
      </c>
      <c r="B6275">
        <v>1.0296000000000001</v>
      </c>
    </row>
    <row r="6276" spans="1:2" x14ac:dyDescent="0.2">
      <c r="A6276" s="57">
        <v>37613</v>
      </c>
      <c r="B6276">
        <v>1.0282</v>
      </c>
    </row>
    <row r="6277" spans="1:2" x14ac:dyDescent="0.2">
      <c r="A6277" s="57">
        <v>37612</v>
      </c>
    </row>
    <row r="6278" spans="1:2" x14ac:dyDescent="0.2">
      <c r="A6278" s="57">
        <v>37611</v>
      </c>
    </row>
    <row r="6279" spans="1:2" x14ac:dyDescent="0.2">
      <c r="A6279" s="57">
        <v>37610</v>
      </c>
      <c r="B6279">
        <v>1.0255000000000001</v>
      </c>
    </row>
    <row r="6280" spans="1:2" x14ac:dyDescent="0.2">
      <c r="A6280" s="57">
        <v>37609</v>
      </c>
      <c r="B6280">
        <v>1.0273000000000001</v>
      </c>
    </row>
    <row r="6281" spans="1:2" x14ac:dyDescent="0.2">
      <c r="A6281" s="57">
        <v>37608</v>
      </c>
      <c r="B6281">
        <v>1.024</v>
      </c>
    </row>
    <row r="6282" spans="1:2" x14ac:dyDescent="0.2">
      <c r="A6282" s="57">
        <v>37607</v>
      </c>
      <c r="B6282">
        <v>1.0306999999999999</v>
      </c>
    </row>
    <row r="6283" spans="1:2" x14ac:dyDescent="0.2">
      <c r="A6283" s="57">
        <v>37606</v>
      </c>
      <c r="B6283">
        <v>1.0212000000000001</v>
      </c>
    </row>
    <row r="6284" spans="1:2" x14ac:dyDescent="0.2">
      <c r="A6284" s="57">
        <v>37605</v>
      </c>
    </row>
    <row r="6285" spans="1:2" x14ac:dyDescent="0.2">
      <c r="A6285" s="57">
        <v>37604</v>
      </c>
    </row>
    <row r="6286" spans="1:2" x14ac:dyDescent="0.2">
      <c r="A6286" s="57">
        <v>37603</v>
      </c>
      <c r="B6286">
        <v>1.0221</v>
      </c>
    </row>
    <row r="6287" spans="1:2" x14ac:dyDescent="0.2">
      <c r="A6287" s="57">
        <v>37602</v>
      </c>
      <c r="B6287">
        <v>1.0156000000000001</v>
      </c>
    </row>
    <row r="6288" spans="1:2" x14ac:dyDescent="0.2">
      <c r="A6288" s="57">
        <v>37601</v>
      </c>
      <c r="B6288">
        <v>1.0066999999999999</v>
      </c>
    </row>
    <row r="6289" spans="1:2" x14ac:dyDescent="0.2">
      <c r="A6289" s="57">
        <v>37600</v>
      </c>
      <c r="B6289">
        <v>1.0111000000000001</v>
      </c>
    </row>
    <row r="6290" spans="1:2" x14ac:dyDescent="0.2">
      <c r="A6290" s="57">
        <v>37599</v>
      </c>
      <c r="B6290">
        <v>1.0093000000000001</v>
      </c>
    </row>
    <row r="6291" spans="1:2" x14ac:dyDescent="0.2">
      <c r="A6291" s="57">
        <v>37598</v>
      </c>
    </row>
    <row r="6292" spans="1:2" x14ac:dyDescent="0.2">
      <c r="A6292" s="57">
        <v>37597</v>
      </c>
    </row>
    <row r="6293" spans="1:2" x14ac:dyDescent="0.2">
      <c r="A6293" s="57">
        <v>37596</v>
      </c>
      <c r="B6293">
        <v>1.0005999999999999</v>
      </c>
    </row>
    <row r="6294" spans="1:2" x14ac:dyDescent="0.2">
      <c r="A6294" s="57">
        <v>37595</v>
      </c>
      <c r="B6294">
        <v>0.99909999999999999</v>
      </c>
    </row>
    <row r="6295" spans="1:2" x14ac:dyDescent="0.2">
      <c r="A6295" s="57">
        <v>37594</v>
      </c>
      <c r="B6295">
        <v>1.0018</v>
      </c>
    </row>
    <row r="6296" spans="1:2" x14ac:dyDescent="0.2">
      <c r="A6296" s="57">
        <v>37593</v>
      </c>
      <c r="B6296">
        <v>0.99670000000000003</v>
      </c>
    </row>
    <row r="6297" spans="1:2" x14ac:dyDescent="0.2">
      <c r="A6297" s="57">
        <v>37592</v>
      </c>
      <c r="B6297">
        <v>0.98709999999999998</v>
      </c>
    </row>
    <row r="6298" spans="1:2" x14ac:dyDescent="0.2">
      <c r="A6298" s="57">
        <v>37591</v>
      </c>
    </row>
    <row r="6299" spans="1:2" x14ac:dyDescent="0.2">
      <c r="A6299" s="57">
        <v>37590</v>
      </c>
    </row>
    <row r="6300" spans="1:2" x14ac:dyDescent="0.2">
      <c r="A6300" s="57">
        <v>37589</v>
      </c>
      <c r="B6300">
        <v>0.99270000000000003</v>
      </c>
    </row>
    <row r="6301" spans="1:2" x14ac:dyDescent="0.2">
      <c r="A6301" s="57">
        <v>37588</v>
      </c>
      <c r="B6301">
        <v>0.99339999999999995</v>
      </c>
    </row>
    <row r="6302" spans="1:2" x14ac:dyDescent="0.2">
      <c r="A6302" s="57">
        <v>37587</v>
      </c>
      <c r="B6302">
        <v>0.99270000000000003</v>
      </c>
    </row>
    <row r="6303" spans="1:2" x14ac:dyDescent="0.2">
      <c r="A6303" s="57">
        <v>37586</v>
      </c>
      <c r="B6303">
        <v>0.99099999999999999</v>
      </c>
    </row>
    <row r="6304" spans="1:2" x14ac:dyDescent="0.2">
      <c r="A6304" s="57">
        <v>37585</v>
      </c>
      <c r="B6304">
        <v>0.99050000000000005</v>
      </c>
    </row>
    <row r="6305" spans="1:2" x14ac:dyDescent="0.2">
      <c r="A6305" s="57">
        <v>37584</v>
      </c>
    </row>
    <row r="6306" spans="1:2" x14ac:dyDescent="0.2">
      <c r="A6306" s="57">
        <v>37583</v>
      </c>
    </row>
    <row r="6307" spans="1:2" x14ac:dyDescent="0.2">
      <c r="A6307" s="57">
        <v>37582</v>
      </c>
      <c r="B6307">
        <v>1.0024</v>
      </c>
    </row>
    <row r="6308" spans="1:2" x14ac:dyDescent="0.2">
      <c r="A6308" s="57">
        <v>37581</v>
      </c>
      <c r="B6308">
        <v>1.0034000000000001</v>
      </c>
    </row>
    <row r="6309" spans="1:2" x14ac:dyDescent="0.2">
      <c r="A6309" s="57">
        <v>37580</v>
      </c>
      <c r="B6309">
        <v>1.0019</v>
      </c>
    </row>
    <row r="6310" spans="1:2" x14ac:dyDescent="0.2">
      <c r="A6310" s="57">
        <v>37579</v>
      </c>
      <c r="B6310">
        <v>1.0125</v>
      </c>
    </row>
    <row r="6311" spans="1:2" x14ac:dyDescent="0.2">
      <c r="A6311" s="57">
        <v>37578</v>
      </c>
      <c r="B6311">
        <v>1.0065</v>
      </c>
    </row>
    <row r="6312" spans="1:2" x14ac:dyDescent="0.2">
      <c r="A6312" s="57">
        <v>37577</v>
      </c>
    </row>
    <row r="6313" spans="1:2" x14ac:dyDescent="0.2">
      <c r="A6313" s="57">
        <v>37576</v>
      </c>
    </row>
    <row r="6314" spans="1:2" x14ac:dyDescent="0.2">
      <c r="A6314" s="57">
        <v>37575</v>
      </c>
      <c r="B6314">
        <v>1.0028999999999999</v>
      </c>
    </row>
    <row r="6315" spans="1:2" x14ac:dyDescent="0.2">
      <c r="A6315" s="57">
        <v>37574</v>
      </c>
      <c r="B6315">
        <v>1.0095000000000001</v>
      </c>
    </row>
    <row r="6316" spans="1:2" x14ac:dyDescent="0.2">
      <c r="A6316" s="57">
        <v>37573</v>
      </c>
      <c r="B6316">
        <v>1.0067999999999999</v>
      </c>
    </row>
    <row r="6317" spans="1:2" x14ac:dyDescent="0.2">
      <c r="A6317" s="57">
        <v>37572</v>
      </c>
      <c r="B6317">
        <v>1.0081</v>
      </c>
    </row>
    <row r="6318" spans="1:2" x14ac:dyDescent="0.2">
      <c r="A6318" s="57">
        <v>37571</v>
      </c>
      <c r="B6318">
        <v>1.0125999999999999</v>
      </c>
    </row>
    <row r="6319" spans="1:2" x14ac:dyDescent="0.2">
      <c r="A6319" s="57">
        <v>37570</v>
      </c>
    </row>
    <row r="6320" spans="1:2" x14ac:dyDescent="0.2">
      <c r="A6320" s="57">
        <v>37569</v>
      </c>
    </row>
    <row r="6321" spans="1:2" x14ac:dyDescent="0.2">
      <c r="A6321" s="57">
        <v>37568</v>
      </c>
      <c r="B6321">
        <v>1.0106999999999999</v>
      </c>
    </row>
    <row r="6322" spans="1:2" x14ac:dyDescent="0.2">
      <c r="A6322" s="57">
        <v>37567</v>
      </c>
      <c r="B6322">
        <v>1.0013000000000001</v>
      </c>
    </row>
    <row r="6323" spans="1:2" x14ac:dyDescent="0.2">
      <c r="A6323" s="57">
        <v>37566</v>
      </c>
      <c r="B6323">
        <v>0.99550000000000005</v>
      </c>
    </row>
    <row r="6324" spans="1:2" x14ac:dyDescent="0.2">
      <c r="A6324" s="57">
        <v>37565</v>
      </c>
      <c r="B6324">
        <v>1.0024</v>
      </c>
    </row>
    <row r="6325" spans="1:2" x14ac:dyDescent="0.2">
      <c r="A6325" s="57">
        <v>37564</v>
      </c>
      <c r="B6325">
        <v>0.99439999999999995</v>
      </c>
    </row>
    <row r="6326" spans="1:2" x14ac:dyDescent="0.2">
      <c r="A6326" s="57">
        <v>37563</v>
      </c>
    </row>
    <row r="6327" spans="1:2" x14ac:dyDescent="0.2">
      <c r="A6327" s="57">
        <v>37562</v>
      </c>
    </row>
    <row r="6328" spans="1:2" x14ac:dyDescent="0.2">
      <c r="A6328" s="57">
        <v>37561</v>
      </c>
      <c r="B6328">
        <v>0.99739999999999995</v>
      </c>
    </row>
    <row r="6329" spans="1:2" x14ac:dyDescent="0.2">
      <c r="A6329" s="57">
        <v>37560</v>
      </c>
      <c r="B6329">
        <v>0.98640000000000005</v>
      </c>
    </row>
    <row r="6330" spans="1:2" x14ac:dyDescent="0.2">
      <c r="A6330" s="57">
        <v>37559</v>
      </c>
      <c r="B6330">
        <v>0.98250000000000004</v>
      </c>
    </row>
    <row r="6331" spans="1:2" x14ac:dyDescent="0.2">
      <c r="A6331" s="57">
        <v>37558</v>
      </c>
      <c r="B6331">
        <v>0.98199999999999998</v>
      </c>
    </row>
    <row r="6332" spans="1:2" x14ac:dyDescent="0.2">
      <c r="A6332" s="57">
        <v>37557</v>
      </c>
      <c r="B6332">
        <v>0.97450000000000003</v>
      </c>
    </row>
    <row r="6333" spans="1:2" x14ac:dyDescent="0.2">
      <c r="A6333" s="57">
        <v>37556</v>
      </c>
    </row>
    <row r="6334" spans="1:2" x14ac:dyDescent="0.2">
      <c r="A6334" s="57">
        <v>37555</v>
      </c>
    </row>
    <row r="6335" spans="1:2" x14ac:dyDescent="0.2">
      <c r="A6335" s="57">
        <v>37554</v>
      </c>
      <c r="B6335">
        <v>0.97629999999999995</v>
      </c>
    </row>
    <row r="6336" spans="1:2" x14ac:dyDescent="0.2">
      <c r="A6336" s="57">
        <v>37553</v>
      </c>
      <c r="B6336">
        <v>0.9738</v>
      </c>
    </row>
    <row r="6337" spans="1:2" x14ac:dyDescent="0.2">
      <c r="A6337" s="57">
        <v>37552</v>
      </c>
      <c r="B6337">
        <v>0.97750000000000004</v>
      </c>
    </row>
    <row r="6338" spans="1:2" x14ac:dyDescent="0.2">
      <c r="A6338" s="57">
        <v>37551</v>
      </c>
      <c r="B6338">
        <v>0.9768</v>
      </c>
    </row>
    <row r="6339" spans="1:2" x14ac:dyDescent="0.2">
      <c r="A6339" s="57">
        <v>37550</v>
      </c>
      <c r="B6339">
        <v>0.9748</v>
      </c>
    </row>
    <row r="6340" spans="1:2" x14ac:dyDescent="0.2">
      <c r="A6340" s="57">
        <v>37549</v>
      </c>
    </row>
    <row r="6341" spans="1:2" x14ac:dyDescent="0.2">
      <c r="A6341" s="57">
        <v>37548</v>
      </c>
    </row>
    <row r="6342" spans="1:2" x14ac:dyDescent="0.2">
      <c r="A6342" s="57">
        <v>37547</v>
      </c>
      <c r="B6342">
        <v>0.97350000000000003</v>
      </c>
    </row>
    <row r="6343" spans="1:2" x14ac:dyDescent="0.2">
      <c r="A6343" s="57">
        <v>37546</v>
      </c>
      <c r="B6343">
        <v>0.97629999999999995</v>
      </c>
    </row>
    <row r="6344" spans="1:2" x14ac:dyDescent="0.2">
      <c r="A6344" s="57">
        <v>37545</v>
      </c>
      <c r="B6344">
        <v>0.98229999999999995</v>
      </c>
    </row>
    <row r="6345" spans="1:2" x14ac:dyDescent="0.2">
      <c r="A6345" s="57">
        <v>37544</v>
      </c>
      <c r="B6345">
        <v>0.98099999999999998</v>
      </c>
    </row>
    <row r="6346" spans="1:2" x14ac:dyDescent="0.2">
      <c r="A6346" s="57">
        <v>37543</v>
      </c>
      <c r="B6346">
        <v>0.98729999999999996</v>
      </c>
    </row>
    <row r="6347" spans="1:2" x14ac:dyDescent="0.2">
      <c r="A6347" s="57">
        <v>37542</v>
      </c>
    </row>
    <row r="6348" spans="1:2" x14ac:dyDescent="0.2">
      <c r="A6348" s="57">
        <v>37541</v>
      </c>
    </row>
    <row r="6349" spans="1:2" x14ac:dyDescent="0.2">
      <c r="A6349" s="57">
        <v>37540</v>
      </c>
      <c r="B6349">
        <v>0.98570000000000002</v>
      </c>
    </row>
    <row r="6350" spans="1:2" x14ac:dyDescent="0.2">
      <c r="A6350" s="57">
        <v>37539</v>
      </c>
      <c r="B6350">
        <v>0.98750000000000004</v>
      </c>
    </row>
    <row r="6351" spans="1:2" x14ac:dyDescent="0.2">
      <c r="A6351" s="57">
        <v>37538</v>
      </c>
      <c r="B6351">
        <v>0.98140000000000005</v>
      </c>
    </row>
    <row r="6352" spans="1:2" x14ac:dyDescent="0.2">
      <c r="A6352" s="57">
        <v>37537</v>
      </c>
      <c r="B6352">
        <v>0.98</v>
      </c>
    </row>
    <row r="6353" spans="1:2" x14ac:dyDescent="0.2">
      <c r="A6353" s="57">
        <v>37536</v>
      </c>
      <c r="B6353">
        <v>0.98080000000000001</v>
      </c>
    </row>
    <row r="6354" spans="1:2" x14ac:dyDescent="0.2">
      <c r="A6354" s="57">
        <v>37535</v>
      </c>
    </row>
    <row r="6355" spans="1:2" x14ac:dyDescent="0.2">
      <c r="A6355" s="57">
        <v>37534</v>
      </c>
    </row>
    <row r="6356" spans="1:2" x14ac:dyDescent="0.2">
      <c r="A6356" s="57">
        <v>37533</v>
      </c>
      <c r="B6356">
        <v>0.98650000000000004</v>
      </c>
    </row>
    <row r="6357" spans="1:2" x14ac:dyDescent="0.2">
      <c r="A6357" s="57">
        <v>37532</v>
      </c>
      <c r="B6357">
        <v>0.98899999999999999</v>
      </c>
    </row>
    <row r="6358" spans="1:2" x14ac:dyDescent="0.2">
      <c r="A6358" s="57">
        <v>37531</v>
      </c>
      <c r="B6358">
        <v>0.98350000000000004</v>
      </c>
    </row>
    <row r="6359" spans="1:2" x14ac:dyDescent="0.2">
      <c r="A6359" s="57">
        <v>37530</v>
      </c>
      <c r="B6359">
        <v>0.98609999999999998</v>
      </c>
    </row>
    <row r="6360" spans="1:2" x14ac:dyDescent="0.2">
      <c r="A6360" s="57">
        <v>37529</v>
      </c>
      <c r="B6360">
        <v>0.98599999999999999</v>
      </c>
    </row>
    <row r="6361" spans="1:2" x14ac:dyDescent="0.2">
      <c r="A6361" s="57">
        <v>37528</v>
      </c>
    </row>
    <row r="6362" spans="1:2" x14ac:dyDescent="0.2">
      <c r="A6362" s="57">
        <v>37527</v>
      </c>
    </row>
    <row r="6363" spans="1:2" x14ac:dyDescent="0.2">
      <c r="A6363" s="57">
        <v>37526</v>
      </c>
      <c r="B6363">
        <v>0.97789999999999999</v>
      </c>
    </row>
    <row r="6364" spans="1:2" x14ac:dyDescent="0.2">
      <c r="A6364" s="57">
        <v>37525</v>
      </c>
      <c r="B6364">
        <v>0.97960000000000003</v>
      </c>
    </row>
    <row r="6365" spans="1:2" x14ac:dyDescent="0.2">
      <c r="A6365" s="57">
        <v>37524</v>
      </c>
      <c r="B6365">
        <v>0.97709999999999997</v>
      </c>
    </row>
    <row r="6366" spans="1:2" x14ac:dyDescent="0.2">
      <c r="A6366" s="57">
        <v>37523</v>
      </c>
      <c r="B6366">
        <v>0.98280000000000001</v>
      </c>
    </row>
    <row r="6367" spans="1:2" x14ac:dyDescent="0.2">
      <c r="A6367" s="57">
        <v>37522</v>
      </c>
      <c r="B6367">
        <v>0.98309999999999997</v>
      </c>
    </row>
    <row r="6368" spans="1:2" x14ac:dyDescent="0.2">
      <c r="A6368" s="57">
        <v>37521</v>
      </c>
    </row>
    <row r="6369" spans="1:2" x14ac:dyDescent="0.2">
      <c r="A6369" s="57">
        <v>37520</v>
      </c>
    </row>
    <row r="6370" spans="1:2" x14ac:dyDescent="0.2">
      <c r="A6370" s="57">
        <v>37519</v>
      </c>
      <c r="B6370">
        <v>0.97899999999999998</v>
      </c>
    </row>
    <row r="6371" spans="1:2" x14ac:dyDescent="0.2">
      <c r="A6371" s="57">
        <v>37518</v>
      </c>
      <c r="B6371">
        <v>0.98140000000000005</v>
      </c>
    </row>
    <row r="6372" spans="1:2" x14ac:dyDescent="0.2">
      <c r="A6372" s="57">
        <v>37517</v>
      </c>
      <c r="B6372">
        <v>0.97250000000000003</v>
      </c>
    </row>
    <row r="6373" spans="1:2" x14ac:dyDescent="0.2">
      <c r="A6373" s="57">
        <v>37516</v>
      </c>
      <c r="B6373">
        <v>0.96489999999999998</v>
      </c>
    </row>
    <row r="6374" spans="1:2" x14ac:dyDescent="0.2">
      <c r="A6374" s="57">
        <v>37515</v>
      </c>
      <c r="B6374">
        <v>0.96830000000000005</v>
      </c>
    </row>
    <row r="6375" spans="1:2" x14ac:dyDescent="0.2">
      <c r="A6375" s="57">
        <v>37514</v>
      </c>
    </row>
    <row r="6376" spans="1:2" x14ac:dyDescent="0.2">
      <c r="A6376" s="57">
        <v>37513</v>
      </c>
    </row>
    <row r="6377" spans="1:2" x14ac:dyDescent="0.2">
      <c r="A6377" s="57">
        <v>37512</v>
      </c>
      <c r="B6377">
        <v>0.98099999999999998</v>
      </c>
    </row>
    <row r="6378" spans="1:2" x14ac:dyDescent="0.2">
      <c r="A6378" s="57">
        <v>37511</v>
      </c>
      <c r="B6378">
        <v>0.97570000000000001</v>
      </c>
    </row>
    <row r="6379" spans="1:2" x14ac:dyDescent="0.2">
      <c r="A6379" s="57">
        <v>37510</v>
      </c>
      <c r="B6379">
        <v>0.97489999999999999</v>
      </c>
    </row>
    <row r="6380" spans="1:2" x14ac:dyDescent="0.2">
      <c r="A6380" s="57">
        <v>37509</v>
      </c>
      <c r="B6380">
        <v>0.97599999999999998</v>
      </c>
    </row>
    <row r="6381" spans="1:2" x14ac:dyDescent="0.2">
      <c r="A6381" s="57">
        <v>37508</v>
      </c>
      <c r="B6381">
        <v>0.97940000000000005</v>
      </c>
    </row>
    <row r="6382" spans="1:2" x14ac:dyDescent="0.2">
      <c r="A6382" s="57">
        <v>37507</v>
      </c>
    </row>
    <row r="6383" spans="1:2" x14ac:dyDescent="0.2">
      <c r="A6383" s="57">
        <v>37506</v>
      </c>
    </row>
    <row r="6384" spans="1:2" x14ac:dyDescent="0.2">
      <c r="A6384" s="57">
        <v>37505</v>
      </c>
      <c r="B6384">
        <v>0.99180000000000001</v>
      </c>
    </row>
    <row r="6385" spans="1:2" x14ac:dyDescent="0.2">
      <c r="A6385" s="57">
        <v>37504</v>
      </c>
      <c r="B6385">
        <v>0.99750000000000005</v>
      </c>
    </row>
    <row r="6386" spans="1:2" x14ac:dyDescent="0.2">
      <c r="A6386" s="57">
        <v>37503</v>
      </c>
      <c r="B6386">
        <v>0.99470000000000003</v>
      </c>
    </row>
    <row r="6387" spans="1:2" x14ac:dyDescent="0.2">
      <c r="A6387" s="57">
        <v>37502</v>
      </c>
      <c r="B6387">
        <v>0.99099999999999999</v>
      </c>
    </row>
    <row r="6388" spans="1:2" x14ac:dyDescent="0.2">
      <c r="A6388" s="57">
        <v>37501</v>
      </c>
      <c r="B6388">
        <v>0.98209999999999997</v>
      </c>
    </row>
    <row r="6389" spans="1:2" x14ac:dyDescent="0.2">
      <c r="A6389" s="57">
        <v>37500</v>
      </c>
    </row>
    <row r="6390" spans="1:2" x14ac:dyDescent="0.2">
      <c r="A6390" s="57">
        <v>37499</v>
      </c>
    </row>
    <row r="6391" spans="1:2" x14ac:dyDescent="0.2">
      <c r="A6391" s="57">
        <v>37498</v>
      </c>
      <c r="B6391">
        <v>0.98329999999999995</v>
      </c>
    </row>
    <row r="6392" spans="1:2" x14ac:dyDescent="0.2">
      <c r="A6392" s="57">
        <v>37497</v>
      </c>
      <c r="B6392">
        <v>0.98429999999999995</v>
      </c>
    </row>
    <row r="6393" spans="1:2" x14ac:dyDescent="0.2">
      <c r="A6393" s="57">
        <v>37496</v>
      </c>
      <c r="B6393">
        <v>0.98260000000000003</v>
      </c>
    </row>
    <row r="6394" spans="1:2" x14ac:dyDescent="0.2">
      <c r="A6394" s="57">
        <v>37495</v>
      </c>
      <c r="B6394">
        <v>0.97740000000000005</v>
      </c>
    </row>
    <row r="6395" spans="1:2" x14ac:dyDescent="0.2">
      <c r="A6395" s="57">
        <v>37494</v>
      </c>
      <c r="B6395">
        <v>0.97009999999999996</v>
      </c>
    </row>
    <row r="6396" spans="1:2" x14ac:dyDescent="0.2">
      <c r="A6396" s="57">
        <v>37493</v>
      </c>
    </row>
    <row r="6397" spans="1:2" x14ac:dyDescent="0.2">
      <c r="A6397" s="57">
        <v>37492</v>
      </c>
    </row>
    <row r="6398" spans="1:2" x14ac:dyDescent="0.2">
      <c r="A6398" s="57">
        <v>37491</v>
      </c>
      <c r="B6398">
        <v>0.96970000000000001</v>
      </c>
    </row>
    <row r="6399" spans="1:2" x14ac:dyDescent="0.2">
      <c r="A6399" s="57">
        <v>37490</v>
      </c>
      <c r="B6399">
        <v>0.97699999999999998</v>
      </c>
    </row>
    <row r="6400" spans="1:2" x14ac:dyDescent="0.2">
      <c r="A6400" s="57">
        <v>37489</v>
      </c>
      <c r="B6400">
        <v>0.97619999999999996</v>
      </c>
    </row>
    <row r="6401" spans="1:2" x14ac:dyDescent="0.2">
      <c r="A6401" s="57">
        <v>37488</v>
      </c>
      <c r="B6401">
        <v>0.97919999999999996</v>
      </c>
    </row>
    <row r="6402" spans="1:2" x14ac:dyDescent="0.2">
      <c r="A6402" s="57">
        <v>37487</v>
      </c>
      <c r="B6402">
        <v>0.97989999999999999</v>
      </c>
    </row>
    <row r="6403" spans="1:2" x14ac:dyDescent="0.2">
      <c r="A6403" s="57">
        <v>37486</v>
      </c>
    </row>
    <row r="6404" spans="1:2" x14ac:dyDescent="0.2">
      <c r="A6404" s="57">
        <v>37485</v>
      </c>
    </row>
    <row r="6405" spans="1:2" x14ac:dyDescent="0.2">
      <c r="A6405" s="57">
        <v>37484</v>
      </c>
      <c r="B6405">
        <v>0.98250000000000004</v>
      </c>
    </row>
    <row r="6406" spans="1:2" x14ac:dyDescent="0.2">
      <c r="A6406" s="57">
        <v>37483</v>
      </c>
      <c r="B6406">
        <v>0.97770000000000001</v>
      </c>
    </row>
    <row r="6407" spans="1:2" x14ac:dyDescent="0.2">
      <c r="A6407" s="57">
        <v>37482</v>
      </c>
      <c r="B6407">
        <v>0.98570000000000002</v>
      </c>
    </row>
    <row r="6408" spans="1:2" x14ac:dyDescent="0.2">
      <c r="A6408" s="57">
        <v>37481</v>
      </c>
      <c r="B6408">
        <v>0.97989999999999999</v>
      </c>
    </row>
    <row r="6409" spans="1:2" x14ac:dyDescent="0.2">
      <c r="A6409" s="57">
        <v>37480</v>
      </c>
      <c r="B6409">
        <v>0.97799999999999998</v>
      </c>
    </row>
    <row r="6410" spans="1:2" x14ac:dyDescent="0.2">
      <c r="A6410" s="57">
        <v>37479</v>
      </c>
    </row>
    <row r="6411" spans="1:2" x14ac:dyDescent="0.2">
      <c r="A6411" s="57">
        <v>37478</v>
      </c>
    </row>
    <row r="6412" spans="1:2" x14ac:dyDescent="0.2">
      <c r="A6412" s="57">
        <v>37477</v>
      </c>
      <c r="B6412">
        <v>0.97289999999999999</v>
      </c>
    </row>
    <row r="6413" spans="1:2" x14ac:dyDescent="0.2">
      <c r="A6413" s="57">
        <v>37476</v>
      </c>
      <c r="B6413">
        <v>0.96870000000000001</v>
      </c>
    </row>
    <row r="6414" spans="1:2" x14ac:dyDescent="0.2">
      <c r="A6414" s="57">
        <v>37475</v>
      </c>
      <c r="B6414">
        <v>0.9698</v>
      </c>
    </row>
    <row r="6415" spans="1:2" x14ac:dyDescent="0.2">
      <c r="A6415" s="57">
        <v>37474</v>
      </c>
      <c r="B6415">
        <v>0.96889999999999998</v>
      </c>
    </row>
    <row r="6416" spans="1:2" x14ac:dyDescent="0.2">
      <c r="A6416" s="57">
        <v>37473</v>
      </c>
      <c r="B6416">
        <v>0.98360000000000003</v>
      </c>
    </row>
    <row r="6417" spans="1:2" x14ac:dyDescent="0.2">
      <c r="A6417" s="57">
        <v>37472</v>
      </c>
    </row>
    <row r="6418" spans="1:2" x14ac:dyDescent="0.2">
      <c r="A6418" s="57">
        <v>37471</v>
      </c>
    </row>
    <row r="6419" spans="1:2" x14ac:dyDescent="0.2">
      <c r="A6419" s="57">
        <v>37470</v>
      </c>
      <c r="B6419">
        <v>0.98729999999999996</v>
      </c>
    </row>
    <row r="6420" spans="1:2" x14ac:dyDescent="0.2">
      <c r="A6420" s="57">
        <v>37469</v>
      </c>
      <c r="B6420">
        <v>0.97599999999999998</v>
      </c>
    </row>
    <row r="6421" spans="1:2" x14ac:dyDescent="0.2">
      <c r="A6421" s="57">
        <v>37468</v>
      </c>
      <c r="B6421">
        <v>0.97829999999999995</v>
      </c>
    </row>
    <row r="6422" spans="1:2" x14ac:dyDescent="0.2">
      <c r="A6422" s="57">
        <v>37467</v>
      </c>
      <c r="B6422">
        <v>0.98350000000000004</v>
      </c>
    </row>
    <row r="6423" spans="1:2" x14ac:dyDescent="0.2">
      <c r="A6423" s="57">
        <v>37466</v>
      </c>
      <c r="B6423">
        <v>0.98209999999999997</v>
      </c>
    </row>
    <row r="6424" spans="1:2" x14ac:dyDescent="0.2">
      <c r="A6424" s="57">
        <v>37465</v>
      </c>
    </row>
    <row r="6425" spans="1:2" x14ac:dyDescent="0.2">
      <c r="A6425" s="57">
        <v>37464</v>
      </c>
    </row>
    <row r="6426" spans="1:2" x14ac:dyDescent="0.2">
      <c r="A6426" s="57">
        <v>37463</v>
      </c>
      <c r="B6426">
        <v>1.0007999999999999</v>
      </c>
    </row>
    <row r="6427" spans="1:2" x14ac:dyDescent="0.2">
      <c r="A6427" s="57">
        <v>37462</v>
      </c>
      <c r="B6427">
        <v>1.0014000000000001</v>
      </c>
    </row>
    <row r="6428" spans="1:2" x14ac:dyDescent="0.2">
      <c r="A6428" s="57">
        <v>37461</v>
      </c>
      <c r="B6428">
        <v>0.99150000000000005</v>
      </c>
    </row>
    <row r="6429" spans="1:2" x14ac:dyDescent="0.2">
      <c r="A6429" s="57">
        <v>37460</v>
      </c>
      <c r="B6429">
        <v>0.99099999999999999</v>
      </c>
    </row>
    <row r="6430" spans="1:2" x14ac:dyDescent="0.2">
      <c r="A6430" s="57">
        <v>37459</v>
      </c>
      <c r="B6430">
        <v>1.0085999999999999</v>
      </c>
    </row>
    <row r="6431" spans="1:2" x14ac:dyDescent="0.2">
      <c r="A6431" s="57">
        <v>37458</v>
      </c>
    </row>
    <row r="6432" spans="1:2" x14ac:dyDescent="0.2">
      <c r="A6432" s="57">
        <v>37457</v>
      </c>
    </row>
    <row r="6433" spans="1:2" x14ac:dyDescent="0.2">
      <c r="A6433" s="57">
        <v>37456</v>
      </c>
      <c r="B6433">
        <v>1.0145999999999999</v>
      </c>
    </row>
    <row r="6434" spans="1:2" x14ac:dyDescent="0.2">
      <c r="A6434" s="57">
        <v>37455</v>
      </c>
      <c r="B6434">
        <v>1.0058</v>
      </c>
    </row>
    <row r="6435" spans="1:2" x14ac:dyDescent="0.2">
      <c r="A6435" s="57">
        <v>37454</v>
      </c>
      <c r="B6435">
        <v>1.0064</v>
      </c>
    </row>
    <row r="6436" spans="1:2" x14ac:dyDescent="0.2">
      <c r="A6436" s="57">
        <v>37453</v>
      </c>
      <c r="B6436">
        <v>1.0126999999999999</v>
      </c>
    </row>
    <row r="6437" spans="1:2" x14ac:dyDescent="0.2">
      <c r="A6437" s="57">
        <v>37452</v>
      </c>
      <c r="B6437">
        <v>1.0024</v>
      </c>
    </row>
    <row r="6438" spans="1:2" x14ac:dyDescent="0.2">
      <c r="A6438" s="57">
        <v>37451</v>
      </c>
    </row>
    <row r="6439" spans="1:2" x14ac:dyDescent="0.2">
      <c r="A6439" s="57">
        <v>37450</v>
      </c>
    </row>
    <row r="6440" spans="1:2" x14ac:dyDescent="0.2">
      <c r="A6440" s="57">
        <v>37449</v>
      </c>
      <c r="B6440">
        <v>0.98729999999999996</v>
      </c>
    </row>
    <row r="6441" spans="1:2" x14ac:dyDescent="0.2">
      <c r="A6441" s="57">
        <v>37448</v>
      </c>
      <c r="B6441">
        <v>0.98360000000000003</v>
      </c>
    </row>
    <row r="6442" spans="1:2" x14ac:dyDescent="0.2">
      <c r="A6442" s="57">
        <v>37447</v>
      </c>
      <c r="B6442">
        <v>0.98980000000000001</v>
      </c>
    </row>
    <row r="6443" spans="1:2" x14ac:dyDescent="0.2">
      <c r="A6443" s="57">
        <v>37446</v>
      </c>
      <c r="B6443">
        <v>0.99299999999999999</v>
      </c>
    </row>
    <row r="6444" spans="1:2" x14ac:dyDescent="0.2">
      <c r="A6444" s="57">
        <v>37445</v>
      </c>
      <c r="B6444">
        <v>0.98280000000000001</v>
      </c>
    </row>
    <row r="6445" spans="1:2" x14ac:dyDescent="0.2">
      <c r="A6445" s="57">
        <v>37444</v>
      </c>
    </row>
    <row r="6446" spans="1:2" x14ac:dyDescent="0.2">
      <c r="A6446" s="57">
        <v>37443</v>
      </c>
    </row>
    <row r="6447" spans="1:2" x14ac:dyDescent="0.2">
      <c r="A6447" s="57">
        <v>37442</v>
      </c>
      <c r="B6447">
        <v>0.97250000000000003</v>
      </c>
    </row>
    <row r="6448" spans="1:2" x14ac:dyDescent="0.2">
      <c r="A6448" s="57">
        <v>37441</v>
      </c>
      <c r="B6448">
        <v>0.97899999999999998</v>
      </c>
    </row>
    <row r="6449" spans="1:2" x14ac:dyDescent="0.2">
      <c r="A6449" s="57">
        <v>37440</v>
      </c>
      <c r="B6449">
        <v>0.97799999999999998</v>
      </c>
    </row>
    <row r="6450" spans="1:2" x14ac:dyDescent="0.2">
      <c r="A6450" s="57">
        <v>37439</v>
      </c>
      <c r="B6450">
        <v>0.98380000000000001</v>
      </c>
    </row>
    <row r="6451" spans="1:2" x14ac:dyDescent="0.2">
      <c r="A6451" s="57">
        <v>37438</v>
      </c>
      <c r="B6451">
        <v>0.99129999999999996</v>
      </c>
    </row>
    <row r="6452" spans="1:2" x14ac:dyDescent="0.2">
      <c r="A6452" s="57">
        <v>37437</v>
      </c>
    </row>
    <row r="6453" spans="1:2" x14ac:dyDescent="0.2">
      <c r="A6453" s="57">
        <v>37436</v>
      </c>
    </row>
    <row r="6454" spans="1:2" x14ac:dyDescent="0.2">
      <c r="A6454" s="57">
        <v>37435</v>
      </c>
      <c r="B6454">
        <v>0.99750000000000005</v>
      </c>
    </row>
    <row r="6455" spans="1:2" x14ac:dyDescent="0.2">
      <c r="A6455" s="57">
        <v>37434</v>
      </c>
      <c r="B6455">
        <v>0.98240000000000005</v>
      </c>
    </row>
    <row r="6456" spans="1:2" x14ac:dyDescent="0.2">
      <c r="A6456" s="57">
        <v>37433</v>
      </c>
      <c r="B6456">
        <v>0.99170000000000003</v>
      </c>
    </row>
    <row r="6457" spans="1:2" x14ac:dyDescent="0.2">
      <c r="A6457" s="57">
        <v>37432</v>
      </c>
      <c r="B6457">
        <v>0.97119999999999995</v>
      </c>
    </row>
    <row r="6458" spans="1:2" x14ac:dyDescent="0.2">
      <c r="A6458" s="57">
        <v>37431</v>
      </c>
      <c r="B6458">
        <v>0.97809999999999997</v>
      </c>
    </row>
    <row r="6459" spans="1:2" x14ac:dyDescent="0.2">
      <c r="A6459" s="57">
        <v>37430</v>
      </c>
    </row>
    <row r="6460" spans="1:2" x14ac:dyDescent="0.2">
      <c r="A6460" s="57">
        <v>37429</v>
      </c>
    </row>
    <row r="6461" spans="1:2" x14ac:dyDescent="0.2">
      <c r="A6461" s="57">
        <v>37428</v>
      </c>
      <c r="B6461">
        <v>0.96360000000000001</v>
      </c>
    </row>
    <row r="6462" spans="1:2" x14ac:dyDescent="0.2">
      <c r="A6462" s="57">
        <v>37427</v>
      </c>
      <c r="B6462">
        <v>0.95920000000000005</v>
      </c>
    </row>
    <row r="6463" spans="1:2" x14ac:dyDescent="0.2">
      <c r="A6463" s="57">
        <v>37426</v>
      </c>
      <c r="B6463">
        <v>0.95609999999999995</v>
      </c>
    </row>
    <row r="6464" spans="1:2" x14ac:dyDescent="0.2">
      <c r="A6464" s="57">
        <v>37425</v>
      </c>
      <c r="B6464">
        <v>0.94840000000000002</v>
      </c>
    </row>
    <row r="6465" spans="1:2" x14ac:dyDescent="0.2">
      <c r="A6465" s="57">
        <v>37424</v>
      </c>
      <c r="B6465">
        <v>0.94259999999999999</v>
      </c>
    </row>
    <row r="6466" spans="1:2" x14ac:dyDescent="0.2">
      <c r="A6466" s="57">
        <v>37423</v>
      </c>
    </row>
    <row r="6467" spans="1:2" x14ac:dyDescent="0.2">
      <c r="A6467" s="57">
        <v>37422</v>
      </c>
    </row>
    <row r="6468" spans="1:2" x14ac:dyDescent="0.2">
      <c r="A6468" s="57">
        <v>37421</v>
      </c>
      <c r="B6468">
        <v>0.94779999999999998</v>
      </c>
    </row>
    <row r="6469" spans="1:2" x14ac:dyDescent="0.2">
      <c r="A6469" s="57">
        <v>37420</v>
      </c>
      <c r="B6469">
        <v>0.94169999999999998</v>
      </c>
    </row>
    <row r="6470" spans="1:2" x14ac:dyDescent="0.2">
      <c r="A6470" s="57">
        <v>37419</v>
      </c>
      <c r="B6470">
        <v>0.94520000000000004</v>
      </c>
    </row>
    <row r="6471" spans="1:2" x14ac:dyDescent="0.2">
      <c r="A6471" s="57">
        <v>37418</v>
      </c>
      <c r="B6471">
        <v>0.94169999999999998</v>
      </c>
    </row>
    <row r="6472" spans="1:2" x14ac:dyDescent="0.2">
      <c r="A6472" s="57">
        <v>37417</v>
      </c>
      <c r="B6472">
        <v>0.94589999999999996</v>
      </c>
    </row>
    <row r="6473" spans="1:2" x14ac:dyDescent="0.2">
      <c r="A6473" s="57">
        <v>37416</v>
      </c>
    </row>
    <row r="6474" spans="1:2" x14ac:dyDescent="0.2">
      <c r="A6474" s="57">
        <v>37415</v>
      </c>
    </row>
    <row r="6475" spans="1:2" x14ac:dyDescent="0.2">
      <c r="A6475" s="57">
        <v>37414</v>
      </c>
      <c r="B6475">
        <v>0.94520000000000004</v>
      </c>
    </row>
    <row r="6476" spans="1:2" x14ac:dyDescent="0.2">
      <c r="A6476" s="57">
        <v>37413</v>
      </c>
      <c r="B6476">
        <v>0.93859999999999999</v>
      </c>
    </row>
    <row r="6477" spans="1:2" x14ac:dyDescent="0.2">
      <c r="A6477" s="57">
        <v>37412</v>
      </c>
      <c r="B6477">
        <v>0.93710000000000004</v>
      </c>
    </row>
    <row r="6478" spans="1:2" x14ac:dyDescent="0.2">
      <c r="A6478" s="57">
        <v>37411</v>
      </c>
      <c r="B6478">
        <v>0.94350000000000001</v>
      </c>
    </row>
    <row r="6479" spans="1:2" x14ac:dyDescent="0.2">
      <c r="A6479" s="57">
        <v>37410</v>
      </c>
      <c r="B6479">
        <v>0.93130000000000002</v>
      </c>
    </row>
    <row r="6480" spans="1:2" x14ac:dyDescent="0.2">
      <c r="A6480" s="57">
        <v>37409</v>
      </c>
    </row>
    <row r="6481" spans="1:2" x14ac:dyDescent="0.2">
      <c r="A6481" s="57">
        <v>37408</v>
      </c>
    </row>
    <row r="6482" spans="1:2" x14ac:dyDescent="0.2">
      <c r="A6482" s="57">
        <v>37407</v>
      </c>
      <c r="B6482">
        <v>0.93869999999999998</v>
      </c>
    </row>
    <row r="6483" spans="1:2" x14ac:dyDescent="0.2">
      <c r="A6483" s="57">
        <v>37406</v>
      </c>
      <c r="B6483">
        <v>0.9375</v>
      </c>
    </row>
    <row r="6484" spans="1:2" x14ac:dyDescent="0.2">
      <c r="A6484" s="57">
        <v>37405</v>
      </c>
      <c r="B6484">
        <v>0.93200000000000005</v>
      </c>
    </row>
    <row r="6485" spans="1:2" x14ac:dyDescent="0.2">
      <c r="A6485" s="57">
        <v>37404</v>
      </c>
      <c r="B6485">
        <v>0.92549999999999999</v>
      </c>
    </row>
    <row r="6486" spans="1:2" x14ac:dyDescent="0.2">
      <c r="A6486" s="57">
        <v>37403</v>
      </c>
      <c r="B6486">
        <v>0.91900000000000004</v>
      </c>
    </row>
    <row r="6487" spans="1:2" x14ac:dyDescent="0.2">
      <c r="A6487" s="57">
        <v>37402</v>
      </c>
    </row>
    <row r="6488" spans="1:2" x14ac:dyDescent="0.2">
      <c r="A6488" s="57">
        <v>37401</v>
      </c>
    </row>
    <row r="6489" spans="1:2" x14ac:dyDescent="0.2">
      <c r="A6489" s="57">
        <v>37400</v>
      </c>
      <c r="B6489">
        <v>0.91879999999999995</v>
      </c>
    </row>
    <row r="6490" spans="1:2" x14ac:dyDescent="0.2">
      <c r="A6490" s="57">
        <v>37399</v>
      </c>
      <c r="B6490">
        <v>0.92130000000000001</v>
      </c>
    </row>
    <row r="6491" spans="1:2" x14ac:dyDescent="0.2">
      <c r="A6491" s="57">
        <v>37398</v>
      </c>
      <c r="B6491">
        <v>0.92600000000000005</v>
      </c>
    </row>
    <row r="6492" spans="1:2" x14ac:dyDescent="0.2">
      <c r="A6492" s="57">
        <v>37397</v>
      </c>
      <c r="B6492">
        <v>0.92130000000000001</v>
      </c>
    </row>
    <row r="6493" spans="1:2" x14ac:dyDescent="0.2">
      <c r="A6493" s="57">
        <v>37396</v>
      </c>
      <c r="B6493">
        <v>0.92020000000000002</v>
      </c>
    </row>
    <row r="6494" spans="1:2" x14ac:dyDescent="0.2">
      <c r="A6494" s="57">
        <v>37395</v>
      </c>
    </row>
    <row r="6495" spans="1:2" x14ac:dyDescent="0.2">
      <c r="A6495" s="57">
        <v>37394</v>
      </c>
    </row>
    <row r="6496" spans="1:2" x14ac:dyDescent="0.2">
      <c r="A6496" s="57">
        <v>37393</v>
      </c>
      <c r="B6496">
        <v>0.91520000000000001</v>
      </c>
    </row>
    <row r="6497" spans="1:2" x14ac:dyDescent="0.2">
      <c r="A6497" s="57">
        <v>37392</v>
      </c>
      <c r="B6497">
        <v>0.91239999999999999</v>
      </c>
    </row>
    <row r="6498" spans="1:2" x14ac:dyDescent="0.2">
      <c r="A6498" s="57">
        <v>37391</v>
      </c>
      <c r="B6498">
        <v>0.90300000000000002</v>
      </c>
    </row>
    <row r="6499" spans="1:2" x14ac:dyDescent="0.2">
      <c r="A6499" s="57">
        <v>37390</v>
      </c>
      <c r="B6499">
        <v>0.90620000000000001</v>
      </c>
    </row>
    <row r="6500" spans="1:2" x14ac:dyDescent="0.2">
      <c r="A6500" s="57">
        <v>37389</v>
      </c>
      <c r="B6500">
        <v>0.91180000000000005</v>
      </c>
    </row>
    <row r="6501" spans="1:2" x14ac:dyDescent="0.2">
      <c r="A6501" s="57">
        <v>37388</v>
      </c>
    </row>
    <row r="6502" spans="1:2" x14ac:dyDescent="0.2">
      <c r="A6502" s="57">
        <v>37387</v>
      </c>
    </row>
    <row r="6503" spans="1:2" x14ac:dyDescent="0.2">
      <c r="A6503" s="57">
        <v>37386</v>
      </c>
      <c r="B6503">
        <v>0.91180000000000005</v>
      </c>
    </row>
    <row r="6504" spans="1:2" x14ac:dyDescent="0.2">
      <c r="A6504" s="57">
        <v>37385</v>
      </c>
      <c r="B6504">
        <v>0.90610000000000002</v>
      </c>
    </row>
    <row r="6505" spans="1:2" x14ac:dyDescent="0.2">
      <c r="A6505" s="57">
        <v>37384</v>
      </c>
      <c r="B6505">
        <v>0.90880000000000005</v>
      </c>
    </row>
    <row r="6506" spans="1:2" x14ac:dyDescent="0.2">
      <c r="A6506" s="57">
        <v>37383</v>
      </c>
      <c r="B6506">
        <v>0.91249999999999998</v>
      </c>
    </row>
    <row r="6507" spans="1:2" x14ac:dyDescent="0.2">
      <c r="A6507" s="57">
        <v>37382</v>
      </c>
      <c r="B6507">
        <v>0.91439999999999999</v>
      </c>
    </row>
    <row r="6508" spans="1:2" x14ac:dyDescent="0.2">
      <c r="A6508" s="57">
        <v>37381</v>
      </c>
    </row>
    <row r="6509" spans="1:2" x14ac:dyDescent="0.2">
      <c r="A6509" s="57">
        <v>37380</v>
      </c>
    </row>
    <row r="6510" spans="1:2" x14ac:dyDescent="0.2">
      <c r="A6510" s="57">
        <v>37379</v>
      </c>
      <c r="B6510">
        <v>0.9083</v>
      </c>
    </row>
    <row r="6511" spans="1:2" x14ac:dyDescent="0.2">
      <c r="A6511" s="57">
        <v>37378</v>
      </c>
      <c r="B6511">
        <v>0.9032</v>
      </c>
    </row>
    <row r="6512" spans="1:2" x14ac:dyDescent="0.2">
      <c r="A6512" s="57">
        <v>37377</v>
      </c>
    </row>
    <row r="6513" spans="1:2" x14ac:dyDescent="0.2">
      <c r="A6513" s="57">
        <v>37376</v>
      </c>
      <c r="B6513">
        <v>0.90080000000000005</v>
      </c>
    </row>
    <row r="6514" spans="1:2" x14ac:dyDescent="0.2">
      <c r="A6514" s="57">
        <v>37375</v>
      </c>
      <c r="B6514">
        <v>0.90380000000000005</v>
      </c>
    </row>
    <row r="6515" spans="1:2" x14ac:dyDescent="0.2">
      <c r="A6515" s="57">
        <v>37374</v>
      </c>
    </row>
    <row r="6516" spans="1:2" x14ac:dyDescent="0.2">
      <c r="A6516" s="57">
        <v>37373</v>
      </c>
    </row>
    <row r="6517" spans="1:2" x14ac:dyDescent="0.2">
      <c r="A6517" s="57">
        <v>37372</v>
      </c>
      <c r="B6517">
        <v>0.89710000000000001</v>
      </c>
    </row>
    <row r="6518" spans="1:2" x14ac:dyDescent="0.2">
      <c r="A6518" s="57">
        <v>37371</v>
      </c>
      <c r="B6518">
        <v>0.89690000000000003</v>
      </c>
    </row>
    <row r="6519" spans="1:2" x14ac:dyDescent="0.2">
      <c r="A6519" s="57">
        <v>37370</v>
      </c>
      <c r="B6519">
        <v>0.88919999999999999</v>
      </c>
    </row>
    <row r="6520" spans="1:2" x14ac:dyDescent="0.2">
      <c r="A6520" s="57">
        <v>37369</v>
      </c>
      <c r="B6520">
        <v>0.88719999999999999</v>
      </c>
    </row>
    <row r="6521" spans="1:2" x14ac:dyDescent="0.2">
      <c r="A6521" s="57">
        <v>37368</v>
      </c>
      <c r="B6521">
        <v>0.88819999999999999</v>
      </c>
    </row>
    <row r="6522" spans="1:2" x14ac:dyDescent="0.2">
      <c r="A6522" s="57">
        <v>37367</v>
      </c>
    </row>
    <row r="6523" spans="1:2" x14ac:dyDescent="0.2">
      <c r="A6523" s="57">
        <v>37366</v>
      </c>
    </row>
    <row r="6524" spans="1:2" x14ac:dyDescent="0.2">
      <c r="A6524" s="57">
        <v>37365</v>
      </c>
      <c r="B6524">
        <v>0.88859999999999995</v>
      </c>
    </row>
    <row r="6525" spans="1:2" x14ac:dyDescent="0.2">
      <c r="A6525" s="57">
        <v>37364</v>
      </c>
      <c r="B6525">
        <v>0.88949999999999996</v>
      </c>
    </row>
    <row r="6526" spans="1:2" x14ac:dyDescent="0.2">
      <c r="A6526" s="57">
        <v>37363</v>
      </c>
      <c r="B6526">
        <v>0.88800000000000001</v>
      </c>
    </row>
    <row r="6527" spans="1:2" x14ac:dyDescent="0.2">
      <c r="A6527" s="57">
        <v>37362</v>
      </c>
      <c r="B6527">
        <v>0.88029999999999997</v>
      </c>
    </row>
    <row r="6528" spans="1:2" x14ac:dyDescent="0.2">
      <c r="A6528" s="57">
        <v>37361</v>
      </c>
      <c r="B6528">
        <v>0.88019999999999998</v>
      </c>
    </row>
    <row r="6529" spans="1:2" x14ac:dyDescent="0.2">
      <c r="A6529" s="57">
        <v>37360</v>
      </c>
    </row>
    <row r="6530" spans="1:2" x14ac:dyDescent="0.2">
      <c r="A6530" s="57">
        <v>37359</v>
      </c>
    </row>
    <row r="6531" spans="1:2" x14ac:dyDescent="0.2">
      <c r="A6531" s="57">
        <v>37358</v>
      </c>
      <c r="B6531">
        <v>0.88029999999999997</v>
      </c>
    </row>
    <row r="6532" spans="1:2" x14ac:dyDescent="0.2">
      <c r="A6532" s="57">
        <v>37357</v>
      </c>
      <c r="B6532">
        <v>0.87939999999999996</v>
      </c>
    </row>
    <row r="6533" spans="1:2" x14ac:dyDescent="0.2">
      <c r="A6533" s="57">
        <v>37356</v>
      </c>
      <c r="B6533">
        <v>0.87980000000000003</v>
      </c>
    </row>
    <row r="6534" spans="1:2" x14ac:dyDescent="0.2">
      <c r="A6534" s="57">
        <v>37355</v>
      </c>
      <c r="B6534">
        <v>0.87629999999999997</v>
      </c>
    </row>
    <row r="6535" spans="1:2" x14ac:dyDescent="0.2">
      <c r="A6535" s="57">
        <v>37354</v>
      </c>
      <c r="B6535">
        <v>0.87780000000000002</v>
      </c>
    </row>
    <row r="6536" spans="1:2" x14ac:dyDescent="0.2">
      <c r="A6536" s="57">
        <v>37353</v>
      </c>
    </row>
    <row r="6537" spans="1:2" x14ac:dyDescent="0.2">
      <c r="A6537" s="57">
        <v>37352</v>
      </c>
    </row>
    <row r="6538" spans="1:2" x14ac:dyDescent="0.2">
      <c r="A6538" s="57">
        <v>37351</v>
      </c>
      <c r="B6538">
        <v>0.87860000000000005</v>
      </c>
    </row>
    <row r="6539" spans="1:2" x14ac:dyDescent="0.2">
      <c r="A6539" s="57">
        <v>37350</v>
      </c>
      <c r="B6539">
        <v>0.88180000000000003</v>
      </c>
    </row>
    <row r="6540" spans="1:2" x14ac:dyDescent="0.2">
      <c r="A6540" s="57">
        <v>37349</v>
      </c>
      <c r="B6540">
        <v>0.88029999999999997</v>
      </c>
    </row>
    <row r="6541" spans="1:2" x14ac:dyDescent="0.2">
      <c r="A6541" s="57">
        <v>37348</v>
      </c>
      <c r="B6541">
        <v>0.87860000000000005</v>
      </c>
    </row>
    <row r="6542" spans="1:2" x14ac:dyDescent="0.2">
      <c r="A6542" s="57">
        <v>37347</v>
      </c>
    </row>
    <row r="6543" spans="1:2" x14ac:dyDescent="0.2">
      <c r="A6543" s="57">
        <v>37346</v>
      </c>
    </row>
    <row r="6544" spans="1:2" x14ac:dyDescent="0.2">
      <c r="A6544" s="57">
        <v>37345</v>
      </c>
    </row>
    <row r="6545" spans="1:2" x14ac:dyDescent="0.2">
      <c r="A6545" s="57">
        <v>37344</v>
      </c>
    </row>
    <row r="6546" spans="1:2" x14ac:dyDescent="0.2">
      <c r="A6546" s="57">
        <v>37343</v>
      </c>
      <c r="B6546">
        <v>0.87239999999999995</v>
      </c>
    </row>
    <row r="6547" spans="1:2" x14ac:dyDescent="0.2">
      <c r="A6547" s="57">
        <v>37342</v>
      </c>
      <c r="B6547">
        <v>0.87460000000000004</v>
      </c>
    </row>
    <row r="6548" spans="1:2" x14ac:dyDescent="0.2">
      <c r="A6548" s="57">
        <v>37341</v>
      </c>
      <c r="B6548">
        <v>0.87370000000000003</v>
      </c>
    </row>
    <row r="6549" spans="1:2" x14ac:dyDescent="0.2">
      <c r="A6549" s="57">
        <v>37340</v>
      </c>
      <c r="B6549">
        <v>0.87590000000000001</v>
      </c>
    </row>
    <row r="6550" spans="1:2" x14ac:dyDescent="0.2">
      <c r="A6550" s="57">
        <v>37339</v>
      </c>
    </row>
    <row r="6551" spans="1:2" x14ac:dyDescent="0.2">
      <c r="A6551" s="57">
        <v>37338</v>
      </c>
    </row>
    <row r="6552" spans="1:2" x14ac:dyDescent="0.2">
      <c r="A6552" s="57">
        <v>37337</v>
      </c>
      <c r="B6552">
        <v>0.87949999999999995</v>
      </c>
    </row>
    <row r="6553" spans="1:2" x14ac:dyDescent="0.2">
      <c r="A6553" s="57">
        <v>37336</v>
      </c>
      <c r="B6553">
        <v>0.88170000000000004</v>
      </c>
    </row>
    <row r="6554" spans="1:2" x14ac:dyDescent="0.2">
      <c r="A6554" s="57">
        <v>37335</v>
      </c>
      <c r="B6554">
        <v>0.88139999999999996</v>
      </c>
    </row>
    <row r="6555" spans="1:2" x14ac:dyDescent="0.2">
      <c r="A6555" s="57">
        <v>37334</v>
      </c>
      <c r="B6555">
        <v>0.88290000000000002</v>
      </c>
    </row>
    <row r="6556" spans="1:2" x14ac:dyDescent="0.2">
      <c r="A6556" s="57">
        <v>37333</v>
      </c>
      <c r="B6556">
        <v>0.87919999999999998</v>
      </c>
    </row>
    <row r="6557" spans="1:2" x14ac:dyDescent="0.2">
      <c r="A6557" s="57">
        <v>37332</v>
      </c>
    </row>
    <row r="6558" spans="1:2" x14ac:dyDescent="0.2">
      <c r="A6558" s="57">
        <v>37331</v>
      </c>
    </row>
    <row r="6559" spans="1:2" x14ac:dyDescent="0.2">
      <c r="A6559" s="57">
        <v>37330</v>
      </c>
      <c r="B6559">
        <v>0.88529999999999998</v>
      </c>
    </row>
    <row r="6560" spans="1:2" x14ac:dyDescent="0.2">
      <c r="A6560" s="57">
        <v>37329</v>
      </c>
      <c r="B6560">
        <v>0.88029999999999997</v>
      </c>
    </row>
    <row r="6561" spans="1:2" x14ac:dyDescent="0.2">
      <c r="A6561" s="57">
        <v>37328</v>
      </c>
      <c r="B6561">
        <v>0.87339999999999995</v>
      </c>
    </row>
    <row r="6562" spans="1:2" x14ac:dyDescent="0.2">
      <c r="A6562" s="57">
        <v>37327</v>
      </c>
      <c r="B6562">
        <v>0.87329999999999997</v>
      </c>
    </row>
    <row r="6563" spans="1:2" x14ac:dyDescent="0.2">
      <c r="A6563" s="57">
        <v>37326</v>
      </c>
      <c r="B6563">
        <v>0.87409999999999999</v>
      </c>
    </row>
    <row r="6564" spans="1:2" x14ac:dyDescent="0.2">
      <c r="A6564" s="57">
        <v>37325</v>
      </c>
    </row>
    <row r="6565" spans="1:2" x14ac:dyDescent="0.2">
      <c r="A6565" s="57">
        <v>37324</v>
      </c>
    </row>
    <row r="6566" spans="1:2" x14ac:dyDescent="0.2">
      <c r="A6566" s="57">
        <v>37323</v>
      </c>
      <c r="B6566">
        <v>0.87970000000000004</v>
      </c>
    </row>
    <row r="6567" spans="1:2" x14ac:dyDescent="0.2">
      <c r="A6567" s="57">
        <v>37322</v>
      </c>
      <c r="B6567">
        <v>0.87639999999999996</v>
      </c>
    </row>
    <row r="6568" spans="1:2" x14ac:dyDescent="0.2">
      <c r="A6568" s="57">
        <v>37321</v>
      </c>
      <c r="B6568">
        <v>0.87119999999999997</v>
      </c>
    </row>
    <row r="6569" spans="1:2" x14ac:dyDescent="0.2">
      <c r="A6569" s="57">
        <v>37320</v>
      </c>
      <c r="B6569">
        <v>0.86819999999999997</v>
      </c>
    </row>
    <row r="6570" spans="1:2" x14ac:dyDescent="0.2">
      <c r="A6570" s="57">
        <v>37319</v>
      </c>
      <c r="B6570">
        <v>0.8649</v>
      </c>
    </row>
    <row r="6571" spans="1:2" x14ac:dyDescent="0.2">
      <c r="A6571" s="57">
        <v>37318</v>
      </c>
    </row>
    <row r="6572" spans="1:2" x14ac:dyDescent="0.2">
      <c r="A6572" s="57">
        <v>37317</v>
      </c>
    </row>
    <row r="6573" spans="1:2" x14ac:dyDescent="0.2">
      <c r="A6573" s="57">
        <v>37316</v>
      </c>
      <c r="B6573">
        <v>0.8679</v>
      </c>
    </row>
    <row r="6574" spans="1:2" x14ac:dyDescent="0.2">
      <c r="A6574" s="57">
        <v>37315</v>
      </c>
      <c r="B6574">
        <v>0.86509999999999998</v>
      </c>
    </row>
    <row r="6575" spans="1:2" x14ac:dyDescent="0.2">
      <c r="A6575" s="57">
        <v>37314</v>
      </c>
      <c r="B6575">
        <v>0.8649</v>
      </c>
    </row>
    <row r="6576" spans="1:2" x14ac:dyDescent="0.2">
      <c r="A6576" s="57">
        <v>37313</v>
      </c>
      <c r="B6576">
        <v>0.86819999999999997</v>
      </c>
    </row>
    <row r="6577" spans="1:2" x14ac:dyDescent="0.2">
      <c r="A6577" s="57">
        <v>37312</v>
      </c>
      <c r="B6577">
        <v>0.87239999999999995</v>
      </c>
    </row>
    <row r="6578" spans="1:2" x14ac:dyDescent="0.2">
      <c r="A6578" s="57">
        <v>37311</v>
      </c>
    </row>
    <row r="6579" spans="1:2" x14ac:dyDescent="0.2">
      <c r="A6579" s="57">
        <v>37310</v>
      </c>
    </row>
    <row r="6580" spans="1:2" x14ac:dyDescent="0.2">
      <c r="A6580" s="57">
        <v>37309</v>
      </c>
      <c r="B6580">
        <v>0.87470000000000003</v>
      </c>
    </row>
    <row r="6581" spans="1:2" x14ac:dyDescent="0.2">
      <c r="A6581" s="57">
        <v>37308</v>
      </c>
      <c r="B6581">
        <v>0.87009999999999998</v>
      </c>
    </row>
    <row r="6582" spans="1:2" x14ac:dyDescent="0.2">
      <c r="A6582" s="57">
        <v>37307</v>
      </c>
      <c r="B6582">
        <v>0.87429999999999997</v>
      </c>
    </row>
    <row r="6583" spans="1:2" x14ac:dyDescent="0.2">
      <c r="A6583" s="57">
        <v>37306</v>
      </c>
      <c r="B6583">
        <v>0.86919999999999997</v>
      </c>
    </row>
    <row r="6584" spans="1:2" x14ac:dyDescent="0.2">
      <c r="A6584" s="57">
        <v>37305</v>
      </c>
      <c r="B6584">
        <v>0.87150000000000005</v>
      </c>
    </row>
    <row r="6585" spans="1:2" x14ac:dyDescent="0.2">
      <c r="A6585" s="57">
        <v>37304</v>
      </c>
    </row>
    <row r="6586" spans="1:2" x14ac:dyDescent="0.2">
      <c r="A6586" s="57">
        <v>37303</v>
      </c>
    </row>
    <row r="6587" spans="1:2" x14ac:dyDescent="0.2">
      <c r="A6587" s="57">
        <v>37302</v>
      </c>
      <c r="B6587">
        <v>0.87050000000000005</v>
      </c>
    </row>
    <row r="6588" spans="1:2" x14ac:dyDescent="0.2">
      <c r="A6588" s="57">
        <v>37301</v>
      </c>
      <c r="B6588">
        <v>0.86929999999999996</v>
      </c>
    </row>
    <row r="6589" spans="1:2" x14ac:dyDescent="0.2">
      <c r="A6589" s="57">
        <v>37300</v>
      </c>
      <c r="B6589">
        <v>0.87309999999999999</v>
      </c>
    </row>
    <row r="6590" spans="1:2" x14ac:dyDescent="0.2">
      <c r="A6590" s="57">
        <v>37299</v>
      </c>
      <c r="B6590">
        <v>0.87529999999999997</v>
      </c>
    </row>
    <row r="6591" spans="1:2" x14ac:dyDescent="0.2">
      <c r="A6591" s="57">
        <v>37298</v>
      </c>
      <c r="B6591">
        <v>0.87939999999999996</v>
      </c>
    </row>
    <row r="6592" spans="1:2" x14ac:dyDescent="0.2">
      <c r="A6592" s="57">
        <v>37297</v>
      </c>
    </row>
    <row r="6593" spans="1:2" x14ac:dyDescent="0.2">
      <c r="A6593" s="57">
        <v>37296</v>
      </c>
    </row>
    <row r="6594" spans="1:2" x14ac:dyDescent="0.2">
      <c r="A6594" s="57">
        <v>37295</v>
      </c>
      <c r="B6594">
        <v>0.874</v>
      </c>
    </row>
    <row r="6595" spans="1:2" x14ac:dyDescent="0.2">
      <c r="A6595" s="57">
        <v>37294</v>
      </c>
      <c r="B6595">
        <v>0.86639999999999995</v>
      </c>
    </row>
    <row r="6596" spans="1:2" x14ac:dyDescent="0.2">
      <c r="A6596" s="57">
        <v>37293</v>
      </c>
      <c r="B6596">
        <v>0.86639999999999995</v>
      </c>
    </row>
    <row r="6597" spans="1:2" x14ac:dyDescent="0.2">
      <c r="A6597" s="57">
        <v>37292</v>
      </c>
      <c r="B6597">
        <v>0.86829999999999996</v>
      </c>
    </row>
    <row r="6598" spans="1:2" x14ac:dyDescent="0.2">
      <c r="A6598" s="57">
        <v>37291</v>
      </c>
      <c r="B6598">
        <v>0.86439999999999995</v>
      </c>
    </row>
    <row r="6599" spans="1:2" x14ac:dyDescent="0.2">
      <c r="A6599" s="57">
        <v>37290</v>
      </c>
    </row>
    <row r="6600" spans="1:2" x14ac:dyDescent="0.2">
      <c r="A6600" s="57">
        <v>37289</v>
      </c>
    </row>
    <row r="6601" spans="1:2" x14ac:dyDescent="0.2">
      <c r="A6601" s="57">
        <v>37288</v>
      </c>
      <c r="B6601">
        <v>0.86319999999999997</v>
      </c>
    </row>
    <row r="6602" spans="1:2" x14ac:dyDescent="0.2">
      <c r="A6602" s="57">
        <v>37287</v>
      </c>
      <c r="B6602">
        <v>0.86370000000000002</v>
      </c>
    </row>
    <row r="6603" spans="1:2" x14ac:dyDescent="0.2">
      <c r="A6603" s="57">
        <v>37286</v>
      </c>
      <c r="B6603">
        <v>0.86419999999999997</v>
      </c>
    </row>
    <row r="6604" spans="1:2" x14ac:dyDescent="0.2">
      <c r="A6604" s="57">
        <v>37285</v>
      </c>
      <c r="B6604">
        <v>0.86240000000000006</v>
      </c>
    </row>
    <row r="6605" spans="1:2" x14ac:dyDescent="0.2">
      <c r="A6605" s="57">
        <v>37284</v>
      </c>
      <c r="B6605">
        <v>0.85780000000000001</v>
      </c>
    </row>
    <row r="6606" spans="1:2" x14ac:dyDescent="0.2">
      <c r="A6606" s="57">
        <v>37283</v>
      </c>
    </row>
    <row r="6607" spans="1:2" x14ac:dyDescent="0.2">
      <c r="A6607" s="57">
        <v>37282</v>
      </c>
    </row>
    <row r="6608" spans="1:2" x14ac:dyDescent="0.2">
      <c r="A6608" s="57">
        <v>37281</v>
      </c>
      <c r="B6608">
        <v>0.86629999999999996</v>
      </c>
    </row>
    <row r="6609" spans="1:2" x14ac:dyDescent="0.2">
      <c r="A6609" s="57">
        <v>37280</v>
      </c>
      <c r="B6609">
        <v>0.87670000000000003</v>
      </c>
    </row>
    <row r="6610" spans="1:2" x14ac:dyDescent="0.2">
      <c r="A6610" s="57">
        <v>37279</v>
      </c>
      <c r="B6610">
        <v>0.88560000000000005</v>
      </c>
    </row>
    <row r="6611" spans="1:2" x14ac:dyDescent="0.2">
      <c r="A6611" s="57">
        <v>37278</v>
      </c>
      <c r="B6611">
        <v>0.88300000000000001</v>
      </c>
    </row>
    <row r="6612" spans="1:2" x14ac:dyDescent="0.2">
      <c r="A6612" s="57">
        <v>37277</v>
      </c>
      <c r="B6612">
        <v>0.88400000000000001</v>
      </c>
    </row>
    <row r="6613" spans="1:2" x14ac:dyDescent="0.2">
      <c r="A6613" s="57">
        <v>37276</v>
      </c>
    </row>
    <row r="6614" spans="1:2" x14ac:dyDescent="0.2">
      <c r="A6614" s="57">
        <v>37275</v>
      </c>
    </row>
    <row r="6615" spans="1:2" x14ac:dyDescent="0.2">
      <c r="A6615" s="57">
        <v>37274</v>
      </c>
      <c r="B6615">
        <v>0.88100000000000001</v>
      </c>
    </row>
    <row r="6616" spans="1:2" x14ac:dyDescent="0.2">
      <c r="A6616" s="57">
        <v>37273</v>
      </c>
      <c r="B6616">
        <v>0.88190000000000002</v>
      </c>
    </row>
    <row r="6617" spans="1:2" x14ac:dyDescent="0.2">
      <c r="A6617" s="57">
        <v>37272</v>
      </c>
      <c r="B6617">
        <v>0.88170000000000004</v>
      </c>
    </row>
    <row r="6618" spans="1:2" x14ac:dyDescent="0.2">
      <c r="A6618" s="57">
        <v>37271</v>
      </c>
      <c r="B6618">
        <v>0.89219999999999999</v>
      </c>
    </row>
    <row r="6619" spans="1:2" x14ac:dyDescent="0.2">
      <c r="A6619" s="57">
        <v>37270</v>
      </c>
      <c r="B6619">
        <v>0.89270000000000005</v>
      </c>
    </row>
    <row r="6620" spans="1:2" x14ac:dyDescent="0.2">
      <c r="A6620" s="57">
        <v>37269</v>
      </c>
    </row>
    <row r="6621" spans="1:2" x14ac:dyDescent="0.2">
      <c r="A6621" s="57">
        <v>37268</v>
      </c>
    </row>
    <row r="6622" spans="1:2" x14ac:dyDescent="0.2">
      <c r="A6622" s="57">
        <v>37267</v>
      </c>
      <c r="B6622">
        <v>0.89190000000000003</v>
      </c>
    </row>
    <row r="6623" spans="1:2" x14ac:dyDescent="0.2">
      <c r="A6623" s="57">
        <v>37266</v>
      </c>
      <c r="B6623">
        <v>0.89090000000000003</v>
      </c>
    </row>
    <row r="6624" spans="1:2" x14ac:dyDescent="0.2">
      <c r="A6624" s="57">
        <v>37265</v>
      </c>
      <c r="B6624">
        <v>0.8921</v>
      </c>
    </row>
    <row r="6625" spans="1:2" x14ac:dyDescent="0.2">
      <c r="A6625" s="57">
        <v>37264</v>
      </c>
      <c r="B6625">
        <v>0.89090000000000003</v>
      </c>
    </row>
    <row r="6626" spans="1:2" x14ac:dyDescent="0.2">
      <c r="A6626" s="57">
        <v>37263</v>
      </c>
      <c r="B6626">
        <v>0.89049999999999996</v>
      </c>
    </row>
    <row r="6627" spans="1:2" x14ac:dyDescent="0.2">
      <c r="A6627" s="57">
        <v>37262</v>
      </c>
    </row>
    <row r="6628" spans="1:2" x14ac:dyDescent="0.2">
      <c r="A6628" s="57">
        <v>37261</v>
      </c>
    </row>
    <row r="6629" spans="1:2" x14ac:dyDescent="0.2">
      <c r="A6629" s="57">
        <v>37260</v>
      </c>
      <c r="B6629">
        <v>0.89539999999999997</v>
      </c>
    </row>
    <row r="6630" spans="1:2" x14ac:dyDescent="0.2">
      <c r="A6630" s="57">
        <v>37259</v>
      </c>
      <c r="B6630">
        <v>0.90359999999999996</v>
      </c>
    </row>
    <row r="6631" spans="1:2" x14ac:dyDescent="0.2">
      <c r="A6631" s="57">
        <v>37258</v>
      </c>
      <c r="B6631">
        <v>0.90380000000000005</v>
      </c>
    </row>
    <row r="6632" spans="1:2" x14ac:dyDescent="0.2">
      <c r="A6632" s="57">
        <v>37257</v>
      </c>
    </row>
    <row r="6633" spans="1:2" x14ac:dyDescent="0.2">
      <c r="A6633" s="57">
        <v>37256</v>
      </c>
    </row>
    <row r="6634" spans="1:2" x14ac:dyDescent="0.2">
      <c r="A6634" s="57">
        <v>37255</v>
      </c>
    </row>
    <row r="6635" spans="1:2" x14ac:dyDescent="0.2">
      <c r="A6635" s="57">
        <v>37254</v>
      </c>
    </row>
    <row r="6636" spans="1:2" x14ac:dyDescent="0.2">
      <c r="A6636" s="57">
        <v>37253</v>
      </c>
      <c r="B6636">
        <v>0.88129999999999997</v>
      </c>
    </row>
    <row r="6637" spans="1:2" x14ac:dyDescent="0.2">
      <c r="A6637" s="57">
        <v>37252</v>
      </c>
      <c r="B6637">
        <v>0.88229999999999997</v>
      </c>
    </row>
    <row r="6638" spans="1:2" x14ac:dyDescent="0.2">
      <c r="A6638" s="57">
        <v>37251</v>
      </c>
    </row>
    <row r="6639" spans="1:2" x14ac:dyDescent="0.2">
      <c r="A6639" s="57">
        <v>37250</v>
      </c>
    </row>
    <row r="6640" spans="1:2" x14ac:dyDescent="0.2">
      <c r="A6640" s="57">
        <v>37249</v>
      </c>
      <c r="B6640">
        <v>0.87980000000000003</v>
      </c>
    </row>
    <row r="6641" spans="1:2" x14ac:dyDescent="0.2">
      <c r="A6641" s="57">
        <v>37248</v>
      </c>
    </row>
    <row r="6642" spans="1:2" x14ac:dyDescent="0.2">
      <c r="A6642" s="57">
        <v>37247</v>
      </c>
    </row>
    <row r="6643" spans="1:2" x14ac:dyDescent="0.2">
      <c r="A6643" s="57">
        <v>37246</v>
      </c>
      <c r="B6643">
        <v>0.89429999999999998</v>
      </c>
    </row>
    <row r="6644" spans="1:2" x14ac:dyDescent="0.2">
      <c r="A6644" s="57">
        <v>37245</v>
      </c>
      <c r="B6644">
        <v>0.89729999999999999</v>
      </c>
    </row>
    <row r="6645" spans="1:2" x14ac:dyDescent="0.2">
      <c r="A6645" s="57">
        <v>37244</v>
      </c>
      <c r="B6645">
        <v>0.89829999999999999</v>
      </c>
    </row>
    <row r="6646" spans="1:2" x14ac:dyDescent="0.2">
      <c r="A6646" s="57">
        <v>37243</v>
      </c>
      <c r="B6646">
        <v>0.9012</v>
      </c>
    </row>
    <row r="6647" spans="1:2" x14ac:dyDescent="0.2">
      <c r="A6647" s="57">
        <v>37242</v>
      </c>
      <c r="B6647">
        <v>0.90490000000000004</v>
      </c>
    </row>
    <row r="6648" spans="1:2" x14ac:dyDescent="0.2">
      <c r="A6648" s="57">
        <v>37241</v>
      </c>
    </row>
    <row r="6649" spans="1:2" x14ac:dyDescent="0.2">
      <c r="A6649" s="57">
        <v>37240</v>
      </c>
    </row>
    <row r="6650" spans="1:2" x14ac:dyDescent="0.2">
      <c r="A6650" s="57">
        <v>37239</v>
      </c>
      <c r="B6650">
        <v>0.90159999999999996</v>
      </c>
    </row>
    <row r="6651" spans="1:2" x14ac:dyDescent="0.2">
      <c r="A6651" s="57">
        <v>37238</v>
      </c>
      <c r="B6651">
        <v>0.89749999999999996</v>
      </c>
    </row>
    <row r="6652" spans="1:2" x14ac:dyDescent="0.2">
      <c r="A6652" s="57">
        <v>37237</v>
      </c>
      <c r="B6652">
        <v>0.89380000000000004</v>
      </c>
    </row>
    <row r="6653" spans="1:2" x14ac:dyDescent="0.2">
      <c r="A6653" s="57">
        <v>37236</v>
      </c>
      <c r="B6653">
        <v>0.89080000000000004</v>
      </c>
    </row>
    <row r="6654" spans="1:2" x14ac:dyDescent="0.2">
      <c r="A6654" s="57">
        <v>37235</v>
      </c>
      <c r="B6654">
        <v>0.88500000000000001</v>
      </c>
    </row>
    <row r="6655" spans="1:2" x14ac:dyDescent="0.2">
      <c r="A6655" s="57">
        <v>37234</v>
      </c>
    </row>
    <row r="6656" spans="1:2" x14ac:dyDescent="0.2">
      <c r="A6656" s="57">
        <v>37233</v>
      </c>
    </row>
    <row r="6657" spans="1:2" x14ac:dyDescent="0.2">
      <c r="A6657" s="57">
        <v>37232</v>
      </c>
      <c r="B6657">
        <v>0.8911</v>
      </c>
    </row>
    <row r="6658" spans="1:2" x14ac:dyDescent="0.2">
      <c r="A6658" s="57">
        <v>37231</v>
      </c>
      <c r="B6658">
        <v>0.88890000000000002</v>
      </c>
    </row>
    <row r="6659" spans="1:2" x14ac:dyDescent="0.2">
      <c r="A6659" s="57">
        <v>37230</v>
      </c>
      <c r="B6659">
        <v>0.89190000000000003</v>
      </c>
    </row>
    <row r="6660" spans="1:2" x14ac:dyDescent="0.2">
      <c r="A6660" s="57">
        <v>37229</v>
      </c>
      <c r="B6660">
        <v>0.89019999999999999</v>
      </c>
    </row>
    <row r="6661" spans="1:2" x14ac:dyDescent="0.2">
      <c r="A6661" s="57">
        <v>37228</v>
      </c>
      <c r="B6661">
        <v>0.89249999999999996</v>
      </c>
    </row>
    <row r="6662" spans="1:2" x14ac:dyDescent="0.2">
      <c r="A6662" s="57">
        <v>37227</v>
      </c>
    </row>
    <row r="6663" spans="1:2" x14ac:dyDescent="0.2">
      <c r="A6663" s="57">
        <v>37226</v>
      </c>
    </row>
    <row r="6664" spans="1:2" x14ac:dyDescent="0.2">
      <c r="A6664" s="57">
        <v>37225</v>
      </c>
      <c r="B6664">
        <v>0.88980000000000004</v>
      </c>
    </row>
    <row r="6665" spans="1:2" x14ac:dyDescent="0.2">
      <c r="A6665" s="57">
        <v>37224</v>
      </c>
      <c r="B6665">
        <v>0.88870000000000005</v>
      </c>
    </row>
    <row r="6666" spans="1:2" x14ac:dyDescent="0.2">
      <c r="A6666" s="57">
        <v>37223</v>
      </c>
      <c r="B6666">
        <v>0.8831</v>
      </c>
    </row>
    <row r="6667" spans="1:2" x14ac:dyDescent="0.2">
      <c r="A6667" s="57">
        <v>37222</v>
      </c>
      <c r="B6667">
        <v>0.87880000000000003</v>
      </c>
    </row>
    <row r="6668" spans="1:2" x14ac:dyDescent="0.2">
      <c r="A6668" s="57">
        <v>37221</v>
      </c>
      <c r="B6668">
        <v>0.88180000000000003</v>
      </c>
    </row>
    <row r="6669" spans="1:2" x14ac:dyDescent="0.2">
      <c r="A6669" s="57">
        <v>37220</v>
      </c>
    </row>
    <row r="6670" spans="1:2" x14ac:dyDescent="0.2">
      <c r="A6670" s="57">
        <v>37219</v>
      </c>
    </row>
    <row r="6671" spans="1:2" x14ac:dyDescent="0.2">
      <c r="A6671" s="57">
        <v>37218</v>
      </c>
      <c r="B6671">
        <v>0.87949999999999995</v>
      </c>
    </row>
    <row r="6672" spans="1:2" x14ac:dyDescent="0.2">
      <c r="A6672" s="57">
        <v>37217</v>
      </c>
      <c r="B6672">
        <v>0.87780000000000002</v>
      </c>
    </row>
    <row r="6673" spans="1:2" x14ac:dyDescent="0.2">
      <c r="A6673" s="57">
        <v>37216</v>
      </c>
      <c r="B6673">
        <v>0.87909999999999999</v>
      </c>
    </row>
    <row r="6674" spans="1:2" x14ac:dyDescent="0.2">
      <c r="A6674" s="57">
        <v>37215</v>
      </c>
      <c r="B6674">
        <v>0.88239999999999996</v>
      </c>
    </row>
    <row r="6675" spans="1:2" x14ac:dyDescent="0.2">
      <c r="A6675" s="57">
        <v>37214</v>
      </c>
      <c r="B6675">
        <v>0.87929999999999997</v>
      </c>
    </row>
    <row r="6676" spans="1:2" x14ac:dyDescent="0.2">
      <c r="A6676" s="57">
        <v>37213</v>
      </c>
    </row>
    <row r="6677" spans="1:2" x14ac:dyDescent="0.2">
      <c r="A6677" s="57">
        <v>37212</v>
      </c>
    </row>
    <row r="6678" spans="1:2" x14ac:dyDescent="0.2">
      <c r="A6678" s="57">
        <v>37211</v>
      </c>
      <c r="B6678">
        <v>0.88449999999999995</v>
      </c>
    </row>
    <row r="6679" spans="1:2" x14ac:dyDescent="0.2">
      <c r="A6679" s="57">
        <v>37210</v>
      </c>
      <c r="B6679">
        <v>0.88249999999999995</v>
      </c>
    </row>
    <row r="6680" spans="1:2" x14ac:dyDescent="0.2">
      <c r="A6680" s="57">
        <v>37209</v>
      </c>
      <c r="B6680">
        <v>0.88029999999999997</v>
      </c>
    </row>
    <row r="6681" spans="1:2" x14ac:dyDescent="0.2">
      <c r="A6681" s="57">
        <v>37208</v>
      </c>
      <c r="B6681">
        <v>0.88419999999999999</v>
      </c>
    </row>
    <row r="6682" spans="1:2" x14ac:dyDescent="0.2">
      <c r="A6682" s="57">
        <v>37207</v>
      </c>
      <c r="B6682">
        <v>0.89190000000000003</v>
      </c>
    </row>
    <row r="6683" spans="1:2" x14ac:dyDescent="0.2">
      <c r="A6683" s="57">
        <v>37206</v>
      </c>
    </row>
    <row r="6684" spans="1:2" x14ac:dyDescent="0.2">
      <c r="A6684" s="57">
        <v>37205</v>
      </c>
    </row>
    <row r="6685" spans="1:2" x14ac:dyDescent="0.2">
      <c r="A6685" s="57">
        <v>37204</v>
      </c>
      <c r="B6685">
        <v>0.89300000000000002</v>
      </c>
    </row>
    <row r="6686" spans="1:2" x14ac:dyDescent="0.2">
      <c r="A6686" s="57">
        <v>37203</v>
      </c>
      <c r="B6686">
        <v>0.8972</v>
      </c>
    </row>
    <row r="6687" spans="1:2" x14ac:dyDescent="0.2">
      <c r="A6687" s="57">
        <v>37202</v>
      </c>
      <c r="B6687">
        <v>0.90139999999999998</v>
      </c>
    </row>
    <row r="6688" spans="1:2" x14ac:dyDescent="0.2">
      <c r="A6688" s="57">
        <v>37201</v>
      </c>
      <c r="B6688">
        <v>0.89610000000000001</v>
      </c>
    </row>
    <row r="6689" spans="1:2" x14ac:dyDescent="0.2">
      <c r="A6689" s="57">
        <v>37200</v>
      </c>
      <c r="B6689">
        <v>0.89610000000000001</v>
      </c>
    </row>
    <row r="6690" spans="1:2" x14ac:dyDescent="0.2">
      <c r="A6690" s="57">
        <v>37199</v>
      </c>
    </row>
    <row r="6691" spans="1:2" x14ac:dyDescent="0.2">
      <c r="A6691" s="57">
        <v>37198</v>
      </c>
    </row>
    <row r="6692" spans="1:2" x14ac:dyDescent="0.2">
      <c r="A6692" s="57">
        <v>37197</v>
      </c>
      <c r="B6692">
        <v>0.90559999999999996</v>
      </c>
    </row>
    <row r="6693" spans="1:2" x14ac:dyDescent="0.2">
      <c r="A6693" s="57">
        <v>37196</v>
      </c>
      <c r="B6693">
        <v>0.90969999999999995</v>
      </c>
    </row>
    <row r="6694" spans="1:2" x14ac:dyDescent="0.2">
      <c r="A6694" s="57">
        <v>37195</v>
      </c>
      <c r="B6694">
        <v>0.9042</v>
      </c>
    </row>
    <row r="6695" spans="1:2" x14ac:dyDescent="0.2">
      <c r="A6695" s="57">
        <v>37194</v>
      </c>
      <c r="B6695">
        <v>0.90639999999999998</v>
      </c>
    </row>
    <row r="6696" spans="1:2" x14ac:dyDescent="0.2">
      <c r="A6696" s="57">
        <v>37193</v>
      </c>
      <c r="B6696">
        <v>0.90049999999999997</v>
      </c>
    </row>
    <row r="6697" spans="1:2" x14ac:dyDescent="0.2">
      <c r="A6697" s="57">
        <v>37192</v>
      </c>
    </row>
    <row r="6698" spans="1:2" x14ac:dyDescent="0.2">
      <c r="A6698" s="57">
        <v>37191</v>
      </c>
    </row>
    <row r="6699" spans="1:2" x14ac:dyDescent="0.2">
      <c r="A6699" s="57">
        <v>37190</v>
      </c>
      <c r="B6699">
        <v>0.8911</v>
      </c>
    </row>
    <row r="6700" spans="1:2" x14ac:dyDescent="0.2">
      <c r="A6700" s="57">
        <v>37189</v>
      </c>
      <c r="B6700">
        <v>0.88890000000000002</v>
      </c>
    </row>
    <row r="6701" spans="1:2" x14ac:dyDescent="0.2">
      <c r="A6701" s="57">
        <v>37188</v>
      </c>
      <c r="B6701">
        <v>0.89170000000000005</v>
      </c>
    </row>
    <row r="6702" spans="1:2" x14ac:dyDescent="0.2">
      <c r="A6702" s="57">
        <v>37187</v>
      </c>
      <c r="B6702">
        <v>0.88870000000000005</v>
      </c>
    </row>
    <row r="6703" spans="1:2" x14ac:dyDescent="0.2">
      <c r="A6703" s="57">
        <v>37186</v>
      </c>
      <c r="B6703">
        <v>0.89690000000000003</v>
      </c>
    </row>
    <row r="6704" spans="1:2" x14ac:dyDescent="0.2">
      <c r="A6704" s="57">
        <v>37185</v>
      </c>
    </row>
    <row r="6705" spans="1:2" x14ac:dyDescent="0.2">
      <c r="A6705" s="57">
        <v>37184</v>
      </c>
    </row>
    <row r="6706" spans="1:2" x14ac:dyDescent="0.2">
      <c r="A6706" s="57">
        <v>37183</v>
      </c>
      <c r="B6706">
        <v>0.90090000000000003</v>
      </c>
    </row>
    <row r="6707" spans="1:2" x14ac:dyDescent="0.2">
      <c r="A6707" s="57">
        <v>37182</v>
      </c>
      <c r="B6707">
        <v>0.90259999999999996</v>
      </c>
    </row>
    <row r="6708" spans="1:2" x14ac:dyDescent="0.2">
      <c r="A6708" s="57">
        <v>37181</v>
      </c>
      <c r="B6708">
        <v>0.9022</v>
      </c>
    </row>
    <row r="6709" spans="1:2" x14ac:dyDescent="0.2">
      <c r="A6709" s="57">
        <v>37180</v>
      </c>
      <c r="B6709">
        <v>0.9052</v>
      </c>
    </row>
    <row r="6710" spans="1:2" x14ac:dyDescent="0.2">
      <c r="A6710" s="57">
        <v>37179</v>
      </c>
      <c r="B6710">
        <v>0.90969999999999995</v>
      </c>
    </row>
    <row r="6711" spans="1:2" x14ac:dyDescent="0.2">
      <c r="A6711" s="57">
        <v>37178</v>
      </c>
    </row>
    <row r="6712" spans="1:2" x14ac:dyDescent="0.2">
      <c r="A6712" s="57">
        <v>37177</v>
      </c>
    </row>
    <row r="6713" spans="1:2" x14ac:dyDescent="0.2">
      <c r="A6713" s="57">
        <v>37176</v>
      </c>
      <c r="B6713">
        <v>0.90400000000000003</v>
      </c>
    </row>
    <row r="6714" spans="1:2" x14ac:dyDescent="0.2">
      <c r="A6714" s="57">
        <v>37175</v>
      </c>
      <c r="B6714">
        <v>0.90620000000000001</v>
      </c>
    </row>
    <row r="6715" spans="1:2" x14ac:dyDescent="0.2">
      <c r="A6715" s="57">
        <v>37174</v>
      </c>
      <c r="B6715">
        <v>0.91359999999999997</v>
      </c>
    </row>
    <row r="6716" spans="1:2" x14ac:dyDescent="0.2">
      <c r="A6716" s="57">
        <v>37173</v>
      </c>
      <c r="B6716">
        <v>0.91930000000000001</v>
      </c>
    </row>
    <row r="6717" spans="1:2" x14ac:dyDescent="0.2">
      <c r="A6717" s="57">
        <v>37172</v>
      </c>
      <c r="B6717">
        <v>0.9214</v>
      </c>
    </row>
    <row r="6718" spans="1:2" x14ac:dyDescent="0.2">
      <c r="A6718" s="57">
        <v>37171</v>
      </c>
    </row>
    <row r="6719" spans="1:2" x14ac:dyDescent="0.2">
      <c r="A6719" s="57">
        <v>37170</v>
      </c>
    </row>
    <row r="6720" spans="1:2" x14ac:dyDescent="0.2">
      <c r="A6720" s="57">
        <v>37169</v>
      </c>
      <c r="B6720">
        <v>0.91739999999999999</v>
      </c>
    </row>
    <row r="6721" spans="1:2" x14ac:dyDescent="0.2">
      <c r="A6721" s="57">
        <v>37168</v>
      </c>
      <c r="B6721">
        <v>0.91169999999999995</v>
      </c>
    </row>
    <row r="6722" spans="1:2" x14ac:dyDescent="0.2">
      <c r="A6722" s="57">
        <v>37167</v>
      </c>
      <c r="B6722">
        <v>0.92090000000000005</v>
      </c>
    </row>
    <row r="6723" spans="1:2" x14ac:dyDescent="0.2">
      <c r="A6723" s="57">
        <v>37166</v>
      </c>
      <c r="B6723">
        <v>0.91890000000000005</v>
      </c>
    </row>
    <row r="6724" spans="1:2" x14ac:dyDescent="0.2">
      <c r="A6724" s="57">
        <v>37165</v>
      </c>
      <c r="B6724">
        <v>0.91249999999999998</v>
      </c>
    </row>
    <row r="6725" spans="1:2" x14ac:dyDescent="0.2">
      <c r="A6725" s="57">
        <v>37164</v>
      </c>
    </row>
    <row r="6726" spans="1:2" x14ac:dyDescent="0.2">
      <c r="A6726" s="57">
        <v>37163</v>
      </c>
    </row>
    <row r="6727" spans="1:2" x14ac:dyDescent="0.2">
      <c r="A6727" s="57">
        <v>37162</v>
      </c>
      <c r="B6727">
        <v>0.91310000000000002</v>
      </c>
    </row>
    <row r="6728" spans="1:2" x14ac:dyDescent="0.2">
      <c r="A6728" s="57">
        <v>37161</v>
      </c>
      <c r="B6728">
        <v>0.92049999999999998</v>
      </c>
    </row>
    <row r="6729" spans="1:2" x14ac:dyDescent="0.2">
      <c r="A6729" s="57">
        <v>37160</v>
      </c>
      <c r="B6729">
        <v>0.92190000000000005</v>
      </c>
    </row>
    <row r="6730" spans="1:2" x14ac:dyDescent="0.2">
      <c r="A6730" s="57">
        <v>37159</v>
      </c>
      <c r="B6730">
        <v>0.91759999999999997</v>
      </c>
    </row>
    <row r="6731" spans="1:2" x14ac:dyDescent="0.2">
      <c r="A6731" s="57">
        <v>37158</v>
      </c>
      <c r="B6731">
        <v>0.91639999999999999</v>
      </c>
    </row>
    <row r="6732" spans="1:2" x14ac:dyDescent="0.2">
      <c r="A6732" s="57">
        <v>37157</v>
      </c>
    </row>
    <row r="6733" spans="1:2" x14ac:dyDescent="0.2">
      <c r="A6733" s="57">
        <v>37156</v>
      </c>
    </row>
    <row r="6734" spans="1:2" x14ac:dyDescent="0.2">
      <c r="A6734" s="57">
        <v>37155</v>
      </c>
      <c r="B6734">
        <v>0.92</v>
      </c>
    </row>
    <row r="6735" spans="1:2" x14ac:dyDescent="0.2">
      <c r="A6735" s="57">
        <v>37154</v>
      </c>
      <c r="B6735">
        <v>0.92589999999999995</v>
      </c>
    </row>
    <row r="6736" spans="1:2" x14ac:dyDescent="0.2">
      <c r="A6736" s="57">
        <v>37153</v>
      </c>
      <c r="B6736">
        <v>0.92579999999999996</v>
      </c>
    </row>
    <row r="6737" spans="1:2" x14ac:dyDescent="0.2">
      <c r="A6737" s="57">
        <v>37152</v>
      </c>
      <c r="B6737">
        <v>0.92559999999999998</v>
      </c>
    </row>
    <row r="6738" spans="1:2" x14ac:dyDescent="0.2">
      <c r="A6738" s="57">
        <v>37151</v>
      </c>
      <c r="B6738">
        <v>0.92689999999999995</v>
      </c>
    </row>
    <row r="6739" spans="1:2" x14ac:dyDescent="0.2">
      <c r="A6739" s="57">
        <v>37150</v>
      </c>
    </row>
    <row r="6740" spans="1:2" x14ac:dyDescent="0.2">
      <c r="A6740" s="57">
        <v>37149</v>
      </c>
    </row>
    <row r="6741" spans="1:2" x14ac:dyDescent="0.2">
      <c r="A6741" s="57">
        <v>37148</v>
      </c>
      <c r="B6741">
        <v>0.92190000000000005</v>
      </c>
    </row>
    <row r="6742" spans="1:2" x14ac:dyDescent="0.2">
      <c r="A6742" s="57">
        <v>37147</v>
      </c>
      <c r="B6742">
        <v>0.90600000000000003</v>
      </c>
    </row>
    <row r="6743" spans="1:2" x14ac:dyDescent="0.2">
      <c r="A6743" s="57">
        <v>37146</v>
      </c>
      <c r="B6743">
        <v>0.9052</v>
      </c>
    </row>
    <row r="6744" spans="1:2" x14ac:dyDescent="0.2">
      <c r="A6744" s="57">
        <v>37145</v>
      </c>
      <c r="B6744">
        <v>0.89639999999999997</v>
      </c>
    </row>
    <row r="6745" spans="1:2" x14ac:dyDescent="0.2">
      <c r="A6745" s="57">
        <v>37144</v>
      </c>
      <c r="B6745">
        <v>0.90469999999999995</v>
      </c>
    </row>
    <row r="6746" spans="1:2" x14ac:dyDescent="0.2">
      <c r="A6746" s="57">
        <v>37143</v>
      </c>
    </row>
    <row r="6747" spans="1:2" x14ac:dyDescent="0.2">
      <c r="A6747" s="57">
        <v>37142</v>
      </c>
    </row>
    <row r="6748" spans="1:2" x14ac:dyDescent="0.2">
      <c r="A6748" s="57">
        <v>37141</v>
      </c>
      <c r="B6748">
        <v>0.8952</v>
      </c>
    </row>
    <row r="6749" spans="1:2" x14ac:dyDescent="0.2">
      <c r="A6749" s="57">
        <v>37140</v>
      </c>
      <c r="B6749">
        <v>0.88549999999999995</v>
      </c>
    </row>
    <row r="6750" spans="1:2" x14ac:dyDescent="0.2">
      <c r="A6750" s="57">
        <v>37139</v>
      </c>
      <c r="B6750">
        <v>0.8891</v>
      </c>
    </row>
    <row r="6751" spans="1:2" x14ac:dyDescent="0.2">
      <c r="A6751" s="57">
        <v>37138</v>
      </c>
      <c r="B6751">
        <v>0.89700000000000002</v>
      </c>
    </row>
    <row r="6752" spans="1:2" x14ac:dyDescent="0.2">
      <c r="A6752" s="57">
        <v>37137</v>
      </c>
      <c r="B6752">
        <v>0.90720000000000001</v>
      </c>
    </row>
    <row r="6753" spans="1:2" x14ac:dyDescent="0.2">
      <c r="A6753" s="57">
        <v>37136</v>
      </c>
    </row>
    <row r="6754" spans="1:2" x14ac:dyDescent="0.2">
      <c r="A6754" s="57">
        <v>37135</v>
      </c>
    </row>
    <row r="6755" spans="1:2" x14ac:dyDescent="0.2">
      <c r="A6755" s="57">
        <v>37134</v>
      </c>
      <c r="B6755">
        <v>0.91579999999999995</v>
      </c>
    </row>
    <row r="6756" spans="1:2" x14ac:dyDescent="0.2">
      <c r="A6756" s="57">
        <v>37133</v>
      </c>
      <c r="B6756">
        <v>0.90949999999999998</v>
      </c>
    </row>
    <row r="6757" spans="1:2" x14ac:dyDescent="0.2">
      <c r="A6757" s="57">
        <v>37132</v>
      </c>
      <c r="B6757">
        <v>0.91220000000000001</v>
      </c>
    </row>
    <row r="6758" spans="1:2" x14ac:dyDescent="0.2">
      <c r="A6758" s="57">
        <v>37131</v>
      </c>
      <c r="B6758">
        <v>0.9042</v>
      </c>
    </row>
    <row r="6759" spans="1:2" x14ac:dyDescent="0.2">
      <c r="A6759" s="57">
        <v>37130</v>
      </c>
      <c r="B6759">
        <v>0.90900000000000003</v>
      </c>
    </row>
    <row r="6760" spans="1:2" x14ac:dyDescent="0.2">
      <c r="A6760" s="57">
        <v>37129</v>
      </c>
    </row>
    <row r="6761" spans="1:2" x14ac:dyDescent="0.2">
      <c r="A6761" s="57">
        <v>37128</v>
      </c>
    </row>
    <row r="6762" spans="1:2" x14ac:dyDescent="0.2">
      <c r="A6762" s="57">
        <v>37127</v>
      </c>
      <c r="B6762">
        <v>0.91080000000000005</v>
      </c>
    </row>
    <row r="6763" spans="1:2" x14ac:dyDescent="0.2">
      <c r="A6763" s="57">
        <v>37126</v>
      </c>
      <c r="B6763">
        <v>0.91120000000000001</v>
      </c>
    </row>
    <row r="6764" spans="1:2" x14ac:dyDescent="0.2">
      <c r="A6764" s="57">
        <v>37125</v>
      </c>
      <c r="B6764">
        <v>0.92159999999999997</v>
      </c>
    </row>
    <row r="6765" spans="1:2" x14ac:dyDescent="0.2">
      <c r="A6765" s="57">
        <v>37124</v>
      </c>
      <c r="B6765">
        <v>0.91279999999999994</v>
      </c>
    </row>
    <row r="6766" spans="1:2" x14ac:dyDescent="0.2">
      <c r="A6766" s="57">
        <v>37123</v>
      </c>
      <c r="B6766">
        <v>0.91490000000000005</v>
      </c>
    </row>
    <row r="6767" spans="1:2" x14ac:dyDescent="0.2">
      <c r="A6767" s="57">
        <v>37122</v>
      </c>
    </row>
    <row r="6768" spans="1:2" x14ac:dyDescent="0.2">
      <c r="A6768" s="57">
        <v>37121</v>
      </c>
    </row>
    <row r="6769" spans="1:2" x14ac:dyDescent="0.2">
      <c r="A6769" s="57">
        <v>37120</v>
      </c>
      <c r="B6769">
        <v>0.91379999999999995</v>
      </c>
    </row>
    <row r="6770" spans="1:2" x14ac:dyDescent="0.2">
      <c r="A6770" s="57">
        <v>37119</v>
      </c>
      <c r="B6770">
        <v>0.91439999999999999</v>
      </c>
    </row>
    <row r="6771" spans="1:2" x14ac:dyDescent="0.2">
      <c r="A6771" s="57">
        <v>37118</v>
      </c>
      <c r="B6771">
        <v>0.91139999999999999</v>
      </c>
    </row>
    <row r="6772" spans="1:2" x14ac:dyDescent="0.2">
      <c r="A6772" s="57">
        <v>37117</v>
      </c>
      <c r="B6772">
        <v>0.89680000000000004</v>
      </c>
    </row>
    <row r="6773" spans="1:2" x14ac:dyDescent="0.2">
      <c r="A6773" s="57">
        <v>37116</v>
      </c>
      <c r="B6773">
        <v>0.89910000000000001</v>
      </c>
    </row>
    <row r="6774" spans="1:2" x14ac:dyDescent="0.2">
      <c r="A6774" s="57">
        <v>37115</v>
      </c>
    </row>
    <row r="6775" spans="1:2" x14ac:dyDescent="0.2">
      <c r="A6775" s="57">
        <v>37114</v>
      </c>
    </row>
    <row r="6776" spans="1:2" x14ac:dyDescent="0.2">
      <c r="A6776" s="57">
        <v>37113</v>
      </c>
      <c r="B6776">
        <v>0.89359999999999995</v>
      </c>
    </row>
    <row r="6777" spans="1:2" x14ac:dyDescent="0.2">
      <c r="A6777" s="57">
        <v>37112</v>
      </c>
      <c r="B6777">
        <v>0.88529999999999998</v>
      </c>
    </row>
    <row r="6778" spans="1:2" x14ac:dyDescent="0.2">
      <c r="A6778" s="57">
        <v>37111</v>
      </c>
      <c r="B6778">
        <v>0.87629999999999997</v>
      </c>
    </row>
    <row r="6779" spans="1:2" x14ac:dyDescent="0.2">
      <c r="A6779" s="57">
        <v>37110</v>
      </c>
      <c r="B6779">
        <v>0.87680000000000002</v>
      </c>
    </row>
    <row r="6780" spans="1:2" x14ac:dyDescent="0.2">
      <c r="A6780" s="57">
        <v>37109</v>
      </c>
      <c r="B6780">
        <v>0.88049999999999995</v>
      </c>
    </row>
    <row r="6781" spans="1:2" x14ac:dyDescent="0.2">
      <c r="A6781" s="57">
        <v>37108</v>
      </c>
    </row>
    <row r="6782" spans="1:2" x14ac:dyDescent="0.2">
      <c r="A6782" s="57">
        <v>37107</v>
      </c>
    </row>
    <row r="6783" spans="1:2" x14ac:dyDescent="0.2">
      <c r="A6783" s="57">
        <v>37106</v>
      </c>
      <c r="B6783">
        <v>0.88060000000000005</v>
      </c>
    </row>
    <row r="6784" spans="1:2" x14ac:dyDescent="0.2">
      <c r="A6784" s="57">
        <v>37105</v>
      </c>
      <c r="B6784">
        <v>0.87880000000000003</v>
      </c>
    </row>
    <row r="6785" spans="1:2" x14ac:dyDescent="0.2">
      <c r="A6785" s="57">
        <v>37104</v>
      </c>
      <c r="B6785">
        <v>0.88170000000000004</v>
      </c>
    </row>
    <row r="6786" spans="1:2" x14ac:dyDescent="0.2">
      <c r="A6786" s="57">
        <v>37103</v>
      </c>
      <c r="B6786">
        <v>0.87549999999999994</v>
      </c>
    </row>
    <row r="6787" spans="1:2" x14ac:dyDescent="0.2">
      <c r="A6787" s="57">
        <v>37102</v>
      </c>
      <c r="B6787">
        <v>0.87509999999999999</v>
      </c>
    </row>
    <row r="6788" spans="1:2" x14ac:dyDescent="0.2">
      <c r="A6788" s="57">
        <v>37101</v>
      </c>
    </row>
    <row r="6789" spans="1:2" x14ac:dyDescent="0.2">
      <c r="A6789" s="57">
        <v>37100</v>
      </c>
    </row>
    <row r="6790" spans="1:2" x14ac:dyDescent="0.2">
      <c r="A6790" s="57">
        <v>37099</v>
      </c>
      <c r="B6790">
        <v>0.87680000000000002</v>
      </c>
    </row>
    <row r="6791" spans="1:2" x14ac:dyDescent="0.2">
      <c r="A6791" s="57">
        <v>37098</v>
      </c>
      <c r="B6791">
        <v>0.87639999999999996</v>
      </c>
    </row>
    <row r="6792" spans="1:2" x14ac:dyDescent="0.2">
      <c r="A6792" s="57">
        <v>37097</v>
      </c>
      <c r="B6792">
        <v>0.87929999999999997</v>
      </c>
    </row>
    <row r="6793" spans="1:2" x14ac:dyDescent="0.2">
      <c r="A6793" s="57">
        <v>37096</v>
      </c>
      <c r="B6793">
        <v>0.87080000000000002</v>
      </c>
    </row>
    <row r="6794" spans="1:2" x14ac:dyDescent="0.2">
      <c r="A6794" s="57">
        <v>37095</v>
      </c>
      <c r="B6794">
        <v>0.86760000000000004</v>
      </c>
    </row>
    <row r="6795" spans="1:2" x14ac:dyDescent="0.2">
      <c r="A6795" s="57">
        <v>37094</v>
      </c>
    </row>
    <row r="6796" spans="1:2" x14ac:dyDescent="0.2">
      <c r="A6796" s="57">
        <v>37093</v>
      </c>
    </row>
    <row r="6797" spans="1:2" x14ac:dyDescent="0.2">
      <c r="A6797" s="57">
        <v>37092</v>
      </c>
      <c r="B6797">
        <v>0.87760000000000005</v>
      </c>
    </row>
    <row r="6798" spans="1:2" x14ac:dyDescent="0.2">
      <c r="A6798" s="57">
        <v>37091</v>
      </c>
      <c r="B6798">
        <v>0.87229999999999996</v>
      </c>
    </row>
    <row r="6799" spans="1:2" x14ac:dyDescent="0.2">
      <c r="A6799" s="57">
        <v>37090</v>
      </c>
      <c r="B6799">
        <v>0.86299999999999999</v>
      </c>
    </row>
    <row r="6800" spans="1:2" x14ac:dyDescent="0.2">
      <c r="A6800" s="57">
        <v>37089</v>
      </c>
      <c r="B6800">
        <v>0.85160000000000002</v>
      </c>
    </row>
    <row r="6801" spans="1:2" x14ac:dyDescent="0.2">
      <c r="A6801" s="57">
        <v>37088</v>
      </c>
      <c r="B6801">
        <v>0.85829999999999995</v>
      </c>
    </row>
    <row r="6802" spans="1:2" x14ac:dyDescent="0.2">
      <c r="A6802" s="57">
        <v>37087</v>
      </c>
    </row>
    <row r="6803" spans="1:2" x14ac:dyDescent="0.2">
      <c r="A6803" s="57">
        <v>37086</v>
      </c>
    </row>
    <row r="6804" spans="1:2" x14ac:dyDescent="0.2">
      <c r="A6804" s="57">
        <v>37085</v>
      </c>
      <c r="B6804">
        <v>0.85389999999999999</v>
      </c>
    </row>
    <row r="6805" spans="1:2" x14ac:dyDescent="0.2">
      <c r="A6805" s="57">
        <v>37084</v>
      </c>
      <c r="B6805">
        <v>0.8538</v>
      </c>
    </row>
    <row r="6806" spans="1:2" x14ac:dyDescent="0.2">
      <c r="A6806" s="57">
        <v>37083</v>
      </c>
      <c r="B6806">
        <v>0.86109999999999998</v>
      </c>
    </row>
    <row r="6807" spans="1:2" x14ac:dyDescent="0.2">
      <c r="A6807" s="57">
        <v>37082</v>
      </c>
      <c r="B6807">
        <v>0.85450000000000004</v>
      </c>
    </row>
    <row r="6808" spans="1:2" x14ac:dyDescent="0.2">
      <c r="A6808" s="57">
        <v>37081</v>
      </c>
      <c r="B6808">
        <v>0.84589999999999999</v>
      </c>
    </row>
    <row r="6809" spans="1:2" x14ac:dyDescent="0.2">
      <c r="A6809" s="57">
        <v>37080</v>
      </c>
    </row>
    <row r="6810" spans="1:2" x14ac:dyDescent="0.2">
      <c r="A6810" s="57">
        <v>37079</v>
      </c>
    </row>
    <row r="6811" spans="1:2" x14ac:dyDescent="0.2">
      <c r="A6811" s="57">
        <v>37078</v>
      </c>
      <c r="B6811">
        <v>0.83840000000000003</v>
      </c>
    </row>
    <row r="6812" spans="1:2" x14ac:dyDescent="0.2">
      <c r="A6812" s="57">
        <v>37077</v>
      </c>
      <c r="B6812">
        <v>0.84219999999999995</v>
      </c>
    </row>
    <row r="6813" spans="1:2" x14ac:dyDescent="0.2">
      <c r="A6813" s="57">
        <v>37076</v>
      </c>
      <c r="B6813">
        <v>0.84530000000000005</v>
      </c>
    </row>
    <row r="6814" spans="1:2" x14ac:dyDescent="0.2">
      <c r="A6814" s="57">
        <v>37075</v>
      </c>
      <c r="B6814">
        <v>0.84970000000000001</v>
      </c>
    </row>
    <row r="6815" spans="1:2" x14ac:dyDescent="0.2">
      <c r="A6815" s="57">
        <v>37074</v>
      </c>
      <c r="B6815">
        <v>0.84550000000000003</v>
      </c>
    </row>
    <row r="6816" spans="1:2" x14ac:dyDescent="0.2">
      <c r="A6816" s="57">
        <v>37073</v>
      </c>
    </row>
    <row r="6817" spans="1:2" x14ac:dyDescent="0.2">
      <c r="A6817" s="57">
        <v>37072</v>
      </c>
    </row>
    <row r="6818" spans="1:2" x14ac:dyDescent="0.2">
      <c r="A6818" s="57">
        <v>37071</v>
      </c>
      <c r="B6818">
        <v>0.84799999999999998</v>
      </c>
    </row>
    <row r="6819" spans="1:2" x14ac:dyDescent="0.2">
      <c r="A6819" s="57">
        <v>37070</v>
      </c>
      <c r="B6819">
        <v>0.85109999999999997</v>
      </c>
    </row>
    <row r="6820" spans="1:2" x14ac:dyDescent="0.2">
      <c r="A6820" s="57">
        <v>37069</v>
      </c>
      <c r="B6820">
        <v>0.86219999999999997</v>
      </c>
    </row>
    <row r="6821" spans="1:2" x14ac:dyDescent="0.2">
      <c r="A6821" s="57">
        <v>37068</v>
      </c>
      <c r="B6821">
        <v>0.86109999999999998</v>
      </c>
    </row>
    <row r="6822" spans="1:2" x14ac:dyDescent="0.2">
      <c r="A6822" s="57">
        <v>37067</v>
      </c>
      <c r="B6822">
        <v>0.86070000000000002</v>
      </c>
    </row>
    <row r="6823" spans="1:2" x14ac:dyDescent="0.2">
      <c r="A6823" s="57">
        <v>37066</v>
      </c>
    </row>
    <row r="6824" spans="1:2" x14ac:dyDescent="0.2">
      <c r="A6824" s="57">
        <v>37065</v>
      </c>
    </row>
    <row r="6825" spans="1:2" x14ac:dyDescent="0.2">
      <c r="A6825" s="57">
        <v>37064</v>
      </c>
      <c r="B6825">
        <v>0.8528</v>
      </c>
    </row>
    <row r="6826" spans="1:2" x14ac:dyDescent="0.2">
      <c r="A6826" s="57">
        <v>37063</v>
      </c>
      <c r="B6826">
        <v>0.85519999999999996</v>
      </c>
    </row>
    <row r="6827" spans="1:2" x14ac:dyDescent="0.2">
      <c r="A6827" s="57">
        <v>37062</v>
      </c>
      <c r="B6827">
        <v>0.85129999999999995</v>
      </c>
    </row>
    <row r="6828" spans="1:2" x14ac:dyDescent="0.2">
      <c r="A6828" s="57">
        <v>37061</v>
      </c>
      <c r="B6828">
        <v>0.85629999999999995</v>
      </c>
    </row>
    <row r="6829" spans="1:2" x14ac:dyDescent="0.2">
      <c r="A6829" s="57">
        <v>37060</v>
      </c>
      <c r="B6829">
        <v>0.85809999999999997</v>
      </c>
    </row>
    <row r="6830" spans="1:2" x14ac:dyDescent="0.2">
      <c r="A6830" s="57">
        <v>37059</v>
      </c>
    </row>
    <row r="6831" spans="1:2" x14ac:dyDescent="0.2">
      <c r="A6831" s="57">
        <v>37058</v>
      </c>
    </row>
    <row r="6832" spans="1:2" x14ac:dyDescent="0.2">
      <c r="A6832" s="57">
        <v>37057</v>
      </c>
      <c r="B6832">
        <v>0.86619999999999997</v>
      </c>
    </row>
    <row r="6833" spans="1:2" x14ac:dyDescent="0.2">
      <c r="A6833" s="57">
        <v>37056</v>
      </c>
      <c r="B6833">
        <v>0.84919999999999995</v>
      </c>
    </row>
    <row r="6834" spans="1:2" x14ac:dyDescent="0.2">
      <c r="A6834" s="57">
        <v>37055</v>
      </c>
      <c r="B6834">
        <v>0.85419999999999996</v>
      </c>
    </row>
    <row r="6835" spans="1:2" x14ac:dyDescent="0.2">
      <c r="A6835" s="57">
        <v>37054</v>
      </c>
      <c r="B6835">
        <v>0.84740000000000004</v>
      </c>
    </row>
    <row r="6836" spans="1:2" x14ac:dyDescent="0.2">
      <c r="A6836" s="57">
        <v>37053</v>
      </c>
      <c r="B6836">
        <v>0.84940000000000004</v>
      </c>
    </row>
    <row r="6837" spans="1:2" x14ac:dyDescent="0.2">
      <c r="A6837" s="57">
        <v>37052</v>
      </c>
    </row>
    <row r="6838" spans="1:2" x14ac:dyDescent="0.2">
      <c r="A6838" s="57">
        <v>37051</v>
      </c>
    </row>
    <row r="6839" spans="1:2" x14ac:dyDescent="0.2">
      <c r="A6839" s="57">
        <v>37050</v>
      </c>
      <c r="B6839">
        <v>0.8468</v>
      </c>
    </row>
    <row r="6840" spans="1:2" x14ac:dyDescent="0.2">
      <c r="A6840" s="57">
        <v>37049</v>
      </c>
      <c r="B6840">
        <v>0.84660000000000002</v>
      </c>
    </row>
    <row r="6841" spans="1:2" x14ac:dyDescent="0.2">
      <c r="A6841" s="57">
        <v>37048</v>
      </c>
      <c r="B6841">
        <v>0.85429999999999995</v>
      </c>
    </row>
    <row r="6842" spans="1:2" x14ac:dyDescent="0.2">
      <c r="A6842" s="57">
        <v>37047</v>
      </c>
      <c r="B6842">
        <v>0.84650000000000003</v>
      </c>
    </row>
    <row r="6843" spans="1:2" x14ac:dyDescent="0.2">
      <c r="A6843" s="57">
        <v>37046</v>
      </c>
      <c r="B6843">
        <v>0.85129999999999995</v>
      </c>
    </row>
    <row r="6844" spans="1:2" x14ac:dyDescent="0.2">
      <c r="A6844" s="57">
        <v>37045</v>
      </c>
    </row>
    <row r="6845" spans="1:2" x14ac:dyDescent="0.2">
      <c r="A6845" s="57">
        <v>37044</v>
      </c>
    </row>
    <row r="6846" spans="1:2" x14ac:dyDescent="0.2">
      <c r="A6846" s="57">
        <v>37043</v>
      </c>
      <c r="B6846">
        <v>0.8478</v>
      </c>
    </row>
    <row r="6847" spans="1:2" x14ac:dyDescent="0.2">
      <c r="A6847" s="57">
        <v>37042</v>
      </c>
      <c r="B6847">
        <v>0.84799999999999998</v>
      </c>
    </row>
    <row r="6848" spans="1:2" x14ac:dyDescent="0.2">
      <c r="A6848" s="57">
        <v>37041</v>
      </c>
      <c r="B6848">
        <v>0.85580000000000001</v>
      </c>
    </row>
    <row r="6849" spans="1:2" x14ac:dyDescent="0.2">
      <c r="A6849" s="57">
        <v>37040</v>
      </c>
      <c r="B6849">
        <v>0.85519999999999996</v>
      </c>
    </row>
    <row r="6850" spans="1:2" x14ac:dyDescent="0.2">
      <c r="A6850" s="57">
        <v>37039</v>
      </c>
      <c r="B6850">
        <v>0.85840000000000005</v>
      </c>
    </row>
    <row r="6851" spans="1:2" x14ac:dyDescent="0.2">
      <c r="A6851" s="57">
        <v>37038</v>
      </c>
    </row>
    <row r="6852" spans="1:2" x14ac:dyDescent="0.2">
      <c r="A6852" s="57">
        <v>37037</v>
      </c>
    </row>
    <row r="6853" spans="1:2" x14ac:dyDescent="0.2">
      <c r="A6853" s="57">
        <v>37036</v>
      </c>
      <c r="B6853">
        <v>0.85909999999999997</v>
      </c>
    </row>
    <row r="6854" spans="1:2" x14ac:dyDescent="0.2">
      <c r="A6854" s="57">
        <v>37035</v>
      </c>
      <c r="B6854">
        <v>0.86040000000000005</v>
      </c>
    </row>
    <row r="6855" spans="1:2" x14ac:dyDescent="0.2">
      <c r="A6855" s="57">
        <v>37034</v>
      </c>
      <c r="B6855">
        <v>0.85850000000000004</v>
      </c>
    </row>
    <row r="6856" spans="1:2" x14ac:dyDescent="0.2">
      <c r="A6856" s="57">
        <v>37033</v>
      </c>
      <c r="B6856">
        <v>0.86850000000000005</v>
      </c>
    </row>
    <row r="6857" spans="1:2" x14ac:dyDescent="0.2">
      <c r="A6857" s="57">
        <v>37032</v>
      </c>
      <c r="B6857">
        <v>0.87539999999999996</v>
      </c>
    </row>
    <row r="6858" spans="1:2" x14ac:dyDescent="0.2">
      <c r="A6858" s="57">
        <v>37031</v>
      </c>
    </row>
    <row r="6859" spans="1:2" x14ac:dyDescent="0.2">
      <c r="A6859" s="57">
        <v>37030</v>
      </c>
    </row>
    <row r="6860" spans="1:2" x14ac:dyDescent="0.2">
      <c r="A6860" s="57">
        <v>37029</v>
      </c>
      <c r="B6860">
        <v>0.87770000000000004</v>
      </c>
    </row>
    <row r="6861" spans="1:2" x14ac:dyDescent="0.2">
      <c r="A6861" s="57">
        <v>37028</v>
      </c>
      <c r="B6861">
        <v>0.88149999999999995</v>
      </c>
    </row>
    <row r="6862" spans="1:2" x14ac:dyDescent="0.2">
      <c r="A6862" s="57">
        <v>37027</v>
      </c>
      <c r="B6862">
        <v>0.88339999999999996</v>
      </c>
    </row>
    <row r="6863" spans="1:2" x14ac:dyDescent="0.2">
      <c r="A6863" s="57">
        <v>37026</v>
      </c>
      <c r="B6863">
        <v>0.87680000000000002</v>
      </c>
    </row>
    <row r="6864" spans="1:2" x14ac:dyDescent="0.2">
      <c r="A6864" s="57">
        <v>37025</v>
      </c>
      <c r="B6864">
        <v>0.87450000000000006</v>
      </c>
    </row>
    <row r="6865" spans="1:2" x14ac:dyDescent="0.2">
      <c r="A6865" s="57">
        <v>37024</v>
      </c>
    </row>
    <row r="6866" spans="1:2" x14ac:dyDescent="0.2">
      <c r="A6866" s="57">
        <v>37023</v>
      </c>
    </row>
    <row r="6867" spans="1:2" x14ac:dyDescent="0.2">
      <c r="A6867" s="57">
        <v>37022</v>
      </c>
      <c r="B6867">
        <v>0.87729999999999997</v>
      </c>
    </row>
    <row r="6868" spans="1:2" x14ac:dyDescent="0.2">
      <c r="A6868" s="57">
        <v>37021</v>
      </c>
      <c r="B6868">
        <v>0.88500000000000001</v>
      </c>
    </row>
    <row r="6869" spans="1:2" x14ac:dyDescent="0.2">
      <c r="A6869" s="57">
        <v>37020</v>
      </c>
      <c r="B6869">
        <v>0.88270000000000004</v>
      </c>
    </row>
    <row r="6870" spans="1:2" x14ac:dyDescent="0.2">
      <c r="A6870" s="57">
        <v>37019</v>
      </c>
      <c r="B6870">
        <v>0.88660000000000005</v>
      </c>
    </row>
    <row r="6871" spans="1:2" x14ac:dyDescent="0.2">
      <c r="A6871" s="57">
        <v>37018</v>
      </c>
      <c r="B6871">
        <v>0.89190000000000003</v>
      </c>
    </row>
    <row r="6872" spans="1:2" x14ac:dyDescent="0.2">
      <c r="A6872" s="57">
        <v>37017</v>
      </c>
    </row>
    <row r="6873" spans="1:2" x14ac:dyDescent="0.2">
      <c r="A6873" s="57">
        <v>37016</v>
      </c>
    </row>
    <row r="6874" spans="1:2" x14ac:dyDescent="0.2">
      <c r="A6874" s="57">
        <v>37015</v>
      </c>
      <c r="B6874">
        <v>0.89390000000000003</v>
      </c>
    </row>
    <row r="6875" spans="1:2" x14ac:dyDescent="0.2">
      <c r="A6875" s="57">
        <v>37014</v>
      </c>
      <c r="B6875">
        <v>0.89029999999999998</v>
      </c>
    </row>
    <row r="6876" spans="1:2" x14ac:dyDescent="0.2">
      <c r="A6876" s="57">
        <v>37013</v>
      </c>
      <c r="B6876">
        <v>0.89070000000000005</v>
      </c>
    </row>
    <row r="6877" spans="1:2" x14ac:dyDescent="0.2">
      <c r="A6877" s="57">
        <v>37012</v>
      </c>
    </row>
    <row r="6878" spans="1:2" x14ac:dyDescent="0.2">
      <c r="A6878" s="57">
        <v>37011</v>
      </c>
      <c r="B6878">
        <v>0.88759999999999994</v>
      </c>
    </row>
    <row r="6879" spans="1:2" x14ac:dyDescent="0.2">
      <c r="A6879" s="57">
        <v>37010</v>
      </c>
    </row>
    <row r="6880" spans="1:2" x14ac:dyDescent="0.2">
      <c r="A6880" s="57">
        <v>37009</v>
      </c>
    </row>
    <row r="6881" spans="1:2" x14ac:dyDescent="0.2">
      <c r="A6881" s="57">
        <v>37008</v>
      </c>
      <c r="B6881">
        <v>0.90229999999999999</v>
      </c>
    </row>
    <row r="6882" spans="1:2" x14ac:dyDescent="0.2">
      <c r="A6882" s="57">
        <v>37007</v>
      </c>
      <c r="B6882">
        <v>0.90129999999999999</v>
      </c>
    </row>
    <row r="6883" spans="1:2" x14ac:dyDescent="0.2">
      <c r="A6883" s="57">
        <v>37006</v>
      </c>
      <c r="B6883">
        <v>0.89470000000000005</v>
      </c>
    </row>
    <row r="6884" spans="1:2" x14ac:dyDescent="0.2">
      <c r="A6884" s="57">
        <v>37005</v>
      </c>
      <c r="B6884">
        <v>0.89729999999999999</v>
      </c>
    </row>
    <row r="6885" spans="1:2" x14ac:dyDescent="0.2">
      <c r="A6885" s="57">
        <v>37004</v>
      </c>
      <c r="B6885">
        <v>0.9002</v>
      </c>
    </row>
    <row r="6886" spans="1:2" x14ac:dyDescent="0.2">
      <c r="A6886" s="57">
        <v>37003</v>
      </c>
    </row>
    <row r="6887" spans="1:2" x14ac:dyDescent="0.2">
      <c r="A6887" s="57">
        <v>37002</v>
      </c>
    </row>
    <row r="6888" spans="1:2" x14ac:dyDescent="0.2">
      <c r="A6888" s="57">
        <v>37001</v>
      </c>
      <c r="B6888">
        <v>0.89890000000000003</v>
      </c>
    </row>
    <row r="6889" spans="1:2" x14ac:dyDescent="0.2">
      <c r="A6889" s="57">
        <v>37000</v>
      </c>
      <c r="B6889">
        <v>0.88270000000000004</v>
      </c>
    </row>
    <row r="6890" spans="1:2" x14ac:dyDescent="0.2">
      <c r="A6890" s="57">
        <v>36999</v>
      </c>
      <c r="B6890">
        <v>0.87780000000000002</v>
      </c>
    </row>
    <row r="6891" spans="1:2" x14ac:dyDescent="0.2">
      <c r="A6891" s="57">
        <v>36998</v>
      </c>
      <c r="B6891">
        <v>0.87909999999999999</v>
      </c>
    </row>
    <row r="6892" spans="1:2" x14ac:dyDescent="0.2">
      <c r="A6892" s="57">
        <v>36997</v>
      </c>
    </row>
    <row r="6893" spans="1:2" x14ac:dyDescent="0.2">
      <c r="A6893" s="57">
        <v>36996</v>
      </c>
    </row>
    <row r="6894" spans="1:2" x14ac:dyDescent="0.2">
      <c r="A6894" s="57">
        <v>36995</v>
      </c>
    </row>
    <row r="6895" spans="1:2" x14ac:dyDescent="0.2">
      <c r="A6895" s="57">
        <v>36994</v>
      </c>
    </row>
    <row r="6896" spans="1:2" x14ac:dyDescent="0.2">
      <c r="A6896" s="57">
        <v>36993</v>
      </c>
      <c r="B6896">
        <v>0.88490000000000002</v>
      </c>
    </row>
    <row r="6897" spans="1:2" x14ac:dyDescent="0.2">
      <c r="A6897" s="57">
        <v>36992</v>
      </c>
      <c r="B6897">
        <v>0.88400000000000001</v>
      </c>
    </row>
    <row r="6898" spans="1:2" x14ac:dyDescent="0.2">
      <c r="A6898" s="57">
        <v>36991</v>
      </c>
      <c r="B6898">
        <v>0.89449999999999996</v>
      </c>
    </row>
    <row r="6899" spans="1:2" x14ac:dyDescent="0.2">
      <c r="A6899" s="57">
        <v>36990</v>
      </c>
      <c r="B6899">
        <v>0.90180000000000005</v>
      </c>
    </row>
    <row r="6900" spans="1:2" x14ac:dyDescent="0.2">
      <c r="A6900" s="57">
        <v>36989</v>
      </c>
    </row>
    <row r="6901" spans="1:2" x14ac:dyDescent="0.2">
      <c r="A6901" s="57">
        <v>36988</v>
      </c>
    </row>
    <row r="6902" spans="1:2" x14ac:dyDescent="0.2">
      <c r="A6902" s="57">
        <v>36987</v>
      </c>
      <c r="B6902">
        <v>0.89400000000000002</v>
      </c>
    </row>
    <row r="6903" spans="1:2" x14ac:dyDescent="0.2">
      <c r="A6903" s="57">
        <v>36986</v>
      </c>
      <c r="B6903">
        <v>0.90200000000000002</v>
      </c>
    </row>
    <row r="6904" spans="1:2" x14ac:dyDescent="0.2">
      <c r="A6904" s="57">
        <v>36985</v>
      </c>
      <c r="B6904">
        <v>0.9032</v>
      </c>
    </row>
    <row r="6905" spans="1:2" x14ac:dyDescent="0.2">
      <c r="A6905" s="57">
        <v>36984</v>
      </c>
      <c r="B6905">
        <v>0.88449999999999995</v>
      </c>
    </row>
    <row r="6906" spans="1:2" x14ac:dyDescent="0.2">
      <c r="A6906" s="57">
        <v>36983</v>
      </c>
      <c r="B6906">
        <v>0.87719999999999998</v>
      </c>
    </row>
    <row r="6907" spans="1:2" x14ac:dyDescent="0.2">
      <c r="A6907" s="57">
        <v>36982</v>
      </c>
    </row>
    <row r="6908" spans="1:2" x14ac:dyDescent="0.2">
      <c r="A6908" s="57">
        <v>36981</v>
      </c>
    </row>
    <row r="6909" spans="1:2" x14ac:dyDescent="0.2">
      <c r="A6909" s="57">
        <v>36980</v>
      </c>
      <c r="B6909">
        <v>0.88319999999999999</v>
      </c>
    </row>
    <row r="6910" spans="1:2" x14ac:dyDescent="0.2">
      <c r="A6910" s="57">
        <v>36979</v>
      </c>
      <c r="B6910">
        <v>0.88400000000000001</v>
      </c>
    </row>
    <row r="6911" spans="1:2" x14ac:dyDescent="0.2">
      <c r="A6911" s="57">
        <v>36978</v>
      </c>
      <c r="B6911">
        <v>0.88600000000000001</v>
      </c>
    </row>
    <row r="6912" spans="1:2" x14ac:dyDescent="0.2">
      <c r="A6912" s="57">
        <v>36977</v>
      </c>
      <c r="B6912">
        <v>0.8952</v>
      </c>
    </row>
    <row r="6913" spans="1:2" x14ac:dyDescent="0.2">
      <c r="A6913" s="57">
        <v>36976</v>
      </c>
      <c r="B6913">
        <v>0.89349999999999996</v>
      </c>
    </row>
    <row r="6914" spans="1:2" x14ac:dyDescent="0.2">
      <c r="A6914" s="57">
        <v>36975</v>
      </c>
    </row>
    <row r="6915" spans="1:2" x14ac:dyDescent="0.2">
      <c r="A6915" s="57">
        <v>36974</v>
      </c>
    </row>
    <row r="6916" spans="1:2" x14ac:dyDescent="0.2">
      <c r="A6916" s="57">
        <v>36973</v>
      </c>
      <c r="B6916">
        <v>0.89219999999999999</v>
      </c>
    </row>
    <row r="6917" spans="1:2" x14ac:dyDescent="0.2">
      <c r="A6917" s="57">
        <v>36972</v>
      </c>
      <c r="B6917">
        <v>0.88890000000000002</v>
      </c>
    </row>
    <row r="6918" spans="1:2" x14ac:dyDescent="0.2">
      <c r="A6918" s="57">
        <v>36971</v>
      </c>
      <c r="B6918">
        <v>0.89900000000000002</v>
      </c>
    </row>
    <row r="6919" spans="1:2" x14ac:dyDescent="0.2">
      <c r="A6919" s="57">
        <v>36970</v>
      </c>
      <c r="B6919">
        <v>0.90200000000000002</v>
      </c>
    </row>
    <row r="6920" spans="1:2" x14ac:dyDescent="0.2">
      <c r="A6920" s="57">
        <v>36969</v>
      </c>
      <c r="B6920">
        <v>0.89959999999999996</v>
      </c>
    </row>
    <row r="6921" spans="1:2" x14ac:dyDescent="0.2">
      <c r="A6921" s="57">
        <v>36968</v>
      </c>
    </row>
    <row r="6922" spans="1:2" x14ac:dyDescent="0.2">
      <c r="A6922" s="57">
        <v>36967</v>
      </c>
    </row>
    <row r="6923" spans="1:2" x14ac:dyDescent="0.2">
      <c r="A6923" s="57">
        <v>36966</v>
      </c>
      <c r="B6923">
        <v>0.89470000000000005</v>
      </c>
    </row>
    <row r="6924" spans="1:2" x14ac:dyDescent="0.2">
      <c r="A6924" s="57">
        <v>36965</v>
      </c>
      <c r="B6924">
        <v>0.90639999999999998</v>
      </c>
    </row>
    <row r="6925" spans="1:2" x14ac:dyDescent="0.2">
      <c r="A6925" s="57">
        <v>36964</v>
      </c>
      <c r="B6925">
        <v>0.91820000000000002</v>
      </c>
    </row>
    <row r="6926" spans="1:2" x14ac:dyDescent="0.2">
      <c r="A6926" s="57">
        <v>36963</v>
      </c>
      <c r="B6926">
        <v>0.92020000000000002</v>
      </c>
    </row>
    <row r="6927" spans="1:2" x14ac:dyDescent="0.2">
      <c r="A6927" s="57">
        <v>36962</v>
      </c>
      <c r="B6927">
        <v>0.92720000000000002</v>
      </c>
    </row>
    <row r="6928" spans="1:2" x14ac:dyDescent="0.2">
      <c r="A6928" s="57">
        <v>36961</v>
      </c>
    </row>
    <row r="6929" spans="1:2" x14ac:dyDescent="0.2">
      <c r="A6929" s="57">
        <v>36960</v>
      </c>
    </row>
    <row r="6930" spans="1:2" x14ac:dyDescent="0.2">
      <c r="A6930" s="57">
        <v>36959</v>
      </c>
      <c r="B6930">
        <v>0.93569999999999998</v>
      </c>
    </row>
    <row r="6931" spans="1:2" x14ac:dyDescent="0.2">
      <c r="A6931" s="57">
        <v>36958</v>
      </c>
      <c r="B6931">
        <v>0.93120000000000003</v>
      </c>
    </row>
    <row r="6932" spans="1:2" x14ac:dyDescent="0.2">
      <c r="A6932" s="57">
        <v>36957</v>
      </c>
      <c r="B6932">
        <v>0.93069999999999997</v>
      </c>
    </row>
    <row r="6933" spans="1:2" x14ac:dyDescent="0.2">
      <c r="A6933" s="57">
        <v>36956</v>
      </c>
      <c r="B6933">
        <v>0.92789999999999995</v>
      </c>
    </row>
    <row r="6934" spans="1:2" x14ac:dyDescent="0.2">
      <c r="A6934" s="57">
        <v>36955</v>
      </c>
      <c r="B6934">
        <v>0.93049999999999999</v>
      </c>
    </row>
    <row r="6935" spans="1:2" x14ac:dyDescent="0.2">
      <c r="A6935" s="57">
        <v>36954</v>
      </c>
    </row>
    <row r="6936" spans="1:2" x14ac:dyDescent="0.2">
      <c r="A6936" s="57">
        <v>36953</v>
      </c>
    </row>
    <row r="6937" spans="1:2" x14ac:dyDescent="0.2">
      <c r="A6937" s="57">
        <v>36952</v>
      </c>
      <c r="B6937">
        <v>0.93630000000000002</v>
      </c>
    </row>
    <row r="6938" spans="1:2" x14ac:dyDescent="0.2">
      <c r="A6938" s="57">
        <v>36951</v>
      </c>
      <c r="B6938">
        <v>0.92689999999999995</v>
      </c>
    </row>
    <row r="6939" spans="1:2" x14ac:dyDescent="0.2">
      <c r="A6939" s="57">
        <v>36950</v>
      </c>
      <c r="B6939">
        <v>0.92479999999999996</v>
      </c>
    </row>
    <row r="6940" spans="1:2" x14ac:dyDescent="0.2">
      <c r="A6940" s="57">
        <v>36949</v>
      </c>
      <c r="B6940">
        <v>0.9163</v>
      </c>
    </row>
    <row r="6941" spans="1:2" x14ac:dyDescent="0.2">
      <c r="A6941" s="57">
        <v>36948</v>
      </c>
      <c r="B6941">
        <v>0.91049999999999998</v>
      </c>
    </row>
    <row r="6942" spans="1:2" x14ac:dyDescent="0.2">
      <c r="A6942" s="57">
        <v>36947</v>
      </c>
    </row>
    <row r="6943" spans="1:2" x14ac:dyDescent="0.2">
      <c r="A6943" s="57">
        <v>36946</v>
      </c>
    </row>
    <row r="6944" spans="1:2" x14ac:dyDescent="0.2">
      <c r="A6944" s="57">
        <v>36945</v>
      </c>
      <c r="B6944">
        <v>0.90639999999999998</v>
      </c>
    </row>
    <row r="6945" spans="1:2" x14ac:dyDescent="0.2">
      <c r="A6945" s="57">
        <v>36944</v>
      </c>
      <c r="B6945">
        <v>0.90559999999999996</v>
      </c>
    </row>
    <row r="6946" spans="1:2" x14ac:dyDescent="0.2">
      <c r="A6946" s="57">
        <v>36943</v>
      </c>
      <c r="B6946">
        <v>0.91459999999999997</v>
      </c>
    </row>
    <row r="6947" spans="1:2" x14ac:dyDescent="0.2">
      <c r="A6947" s="57">
        <v>36942</v>
      </c>
      <c r="B6947">
        <v>0.90700000000000003</v>
      </c>
    </row>
    <row r="6948" spans="1:2" x14ac:dyDescent="0.2">
      <c r="A6948" s="57">
        <v>36941</v>
      </c>
      <c r="B6948">
        <v>0.92130000000000001</v>
      </c>
    </row>
    <row r="6949" spans="1:2" x14ac:dyDescent="0.2">
      <c r="A6949" s="57">
        <v>36940</v>
      </c>
    </row>
    <row r="6950" spans="1:2" x14ac:dyDescent="0.2">
      <c r="A6950" s="57">
        <v>36939</v>
      </c>
    </row>
    <row r="6951" spans="1:2" x14ac:dyDescent="0.2">
      <c r="A6951" s="57">
        <v>36938</v>
      </c>
      <c r="B6951">
        <v>0.9113</v>
      </c>
    </row>
    <row r="6952" spans="1:2" x14ac:dyDescent="0.2">
      <c r="A6952" s="57">
        <v>36937</v>
      </c>
      <c r="B6952">
        <v>0.90900000000000003</v>
      </c>
    </row>
    <row r="6953" spans="1:2" x14ac:dyDescent="0.2">
      <c r="A6953" s="57">
        <v>36936</v>
      </c>
      <c r="B6953">
        <v>0.91779999999999995</v>
      </c>
    </row>
    <row r="6954" spans="1:2" x14ac:dyDescent="0.2">
      <c r="A6954" s="57">
        <v>36935</v>
      </c>
      <c r="B6954">
        <v>0.92749999999999999</v>
      </c>
    </row>
    <row r="6955" spans="1:2" x14ac:dyDescent="0.2">
      <c r="A6955" s="57">
        <v>36934</v>
      </c>
      <c r="B6955">
        <v>0.92879999999999996</v>
      </c>
    </row>
    <row r="6956" spans="1:2" x14ac:dyDescent="0.2">
      <c r="A6956" s="57">
        <v>36933</v>
      </c>
    </row>
    <row r="6957" spans="1:2" x14ac:dyDescent="0.2">
      <c r="A6957" s="57">
        <v>36932</v>
      </c>
    </row>
    <row r="6958" spans="1:2" x14ac:dyDescent="0.2">
      <c r="A6958" s="57">
        <v>36931</v>
      </c>
      <c r="B6958">
        <v>0.92269999999999996</v>
      </c>
    </row>
    <row r="6959" spans="1:2" x14ac:dyDescent="0.2">
      <c r="A6959" s="57">
        <v>36930</v>
      </c>
      <c r="B6959">
        <v>0.92200000000000004</v>
      </c>
    </row>
    <row r="6960" spans="1:2" x14ac:dyDescent="0.2">
      <c r="A6960" s="57">
        <v>36929</v>
      </c>
      <c r="B6960">
        <v>0.9325</v>
      </c>
    </row>
    <row r="6961" spans="1:2" x14ac:dyDescent="0.2">
      <c r="A6961" s="57">
        <v>36928</v>
      </c>
      <c r="B6961">
        <v>0.93220000000000003</v>
      </c>
    </row>
    <row r="6962" spans="1:2" x14ac:dyDescent="0.2">
      <c r="A6962" s="57">
        <v>36927</v>
      </c>
      <c r="B6962">
        <v>0.9425</v>
      </c>
    </row>
    <row r="6963" spans="1:2" x14ac:dyDescent="0.2">
      <c r="A6963" s="57">
        <v>36926</v>
      </c>
    </row>
    <row r="6964" spans="1:2" x14ac:dyDescent="0.2">
      <c r="A6964" s="57">
        <v>36925</v>
      </c>
    </row>
    <row r="6965" spans="1:2" x14ac:dyDescent="0.2">
      <c r="A6965" s="57">
        <v>36924</v>
      </c>
      <c r="B6965">
        <v>0.94069999999999998</v>
      </c>
    </row>
    <row r="6966" spans="1:2" x14ac:dyDescent="0.2">
      <c r="A6966" s="57">
        <v>36923</v>
      </c>
      <c r="B6966">
        <v>0.94059999999999999</v>
      </c>
    </row>
    <row r="6967" spans="1:2" x14ac:dyDescent="0.2">
      <c r="A6967" s="57">
        <v>36922</v>
      </c>
      <c r="B6967">
        <v>0.92930000000000001</v>
      </c>
    </row>
    <row r="6968" spans="1:2" x14ac:dyDescent="0.2">
      <c r="A6968" s="57">
        <v>36921</v>
      </c>
      <c r="B6968">
        <v>0.91969999999999996</v>
      </c>
    </row>
    <row r="6969" spans="1:2" x14ac:dyDescent="0.2">
      <c r="A6969" s="57">
        <v>36920</v>
      </c>
      <c r="B6969">
        <v>0.91930000000000001</v>
      </c>
    </row>
    <row r="6970" spans="1:2" x14ac:dyDescent="0.2">
      <c r="A6970" s="57">
        <v>36919</v>
      </c>
    </row>
    <row r="6971" spans="1:2" x14ac:dyDescent="0.2">
      <c r="A6971" s="57">
        <v>36918</v>
      </c>
    </row>
    <row r="6972" spans="1:2" x14ac:dyDescent="0.2">
      <c r="A6972" s="57">
        <v>36917</v>
      </c>
      <c r="B6972">
        <v>0.92279999999999995</v>
      </c>
    </row>
    <row r="6973" spans="1:2" x14ac:dyDescent="0.2">
      <c r="A6973" s="57">
        <v>36916</v>
      </c>
      <c r="B6973">
        <v>0.91459999999999997</v>
      </c>
    </row>
    <row r="6974" spans="1:2" x14ac:dyDescent="0.2">
      <c r="A6974" s="57">
        <v>36915</v>
      </c>
      <c r="B6974">
        <v>0.9294</v>
      </c>
    </row>
    <row r="6975" spans="1:2" x14ac:dyDescent="0.2">
      <c r="A6975" s="57">
        <v>36914</v>
      </c>
      <c r="B6975">
        <v>0.94069999999999998</v>
      </c>
    </row>
    <row r="6976" spans="1:2" x14ac:dyDescent="0.2">
      <c r="A6976" s="57">
        <v>36913</v>
      </c>
      <c r="B6976">
        <v>0.92900000000000005</v>
      </c>
    </row>
    <row r="6977" spans="1:2" x14ac:dyDescent="0.2">
      <c r="A6977" s="57">
        <v>36912</v>
      </c>
    </row>
    <row r="6978" spans="1:2" x14ac:dyDescent="0.2">
      <c r="A6978" s="57">
        <v>36911</v>
      </c>
    </row>
    <row r="6979" spans="1:2" x14ac:dyDescent="0.2">
      <c r="A6979" s="57">
        <v>36910</v>
      </c>
      <c r="B6979">
        <v>0.94</v>
      </c>
    </row>
    <row r="6980" spans="1:2" x14ac:dyDescent="0.2">
      <c r="A6980" s="57">
        <v>36909</v>
      </c>
      <c r="B6980">
        <v>0.94040000000000001</v>
      </c>
    </row>
    <row r="6981" spans="1:2" x14ac:dyDescent="0.2">
      <c r="A6981" s="57">
        <v>36908</v>
      </c>
      <c r="B6981">
        <v>0.93959999999999999</v>
      </c>
    </row>
    <row r="6982" spans="1:2" x14ac:dyDescent="0.2">
      <c r="A6982" s="57">
        <v>36907</v>
      </c>
      <c r="B6982">
        <v>0.94120000000000004</v>
      </c>
    </row>
    <row r="6983" spans="1:2" x14ac:dyDescent="0.2">
      <c r="A6983" s="57">
        <v>36906</v>
      </c>
      <c r="B6983">
        <v>0.94279999999999997</v>
      </c>
    </row>
    <row r="6984" spans="1:2" x14ac:dyDescent="0.2">
      <c r="A6984" s="57">
        <v>36905</v>
      </c>
    </row>
    <row r="6985" spans="1:2" x14ac:dyDescent="0.2">
      <c r="A6985" s="57">
        <v>36904</v>
      </c>
    </row>
    <row r="6986" spans="1:2" x14ac:dyDescent="0.2">
      <c r="A6986" s="57">
        <v>36903</v>
      </c>
      <c r="B6986">
        <v>0.95450000000000002</v>
      </c>
    </row>
    <row r="6987" spans="1:2" x14ac:dyDescent="0.2">
      <c r="A6987" s="57">
        <v>36902</v>
      </c>
      <c r="B6987">
        <v>0.95230000000000004</v>
      </c>
    </row>
    <row r="6988" spans="1:2" x14ac:dyDescent="0.2">
      <c r="A6988" s="57">
        <v>36901</v>
      </c>
      <c r="B6988">
        <v>0.94120000000000004</v>
      </c>
    </row>
    <row r="6989" spans="1:2" x14ac:dyDescent="0.2">
      <c r="A6989" s="57">
        <v>36900</v>
      </c>
      <c r="B6989">
        <v>0.94010000000000005</v>
      </c>
    </row>
    <row r="6990" spans="1:2" x14ac:dyDescent="0.2">
      <c r="A6990" s="57">
        <v>36899</v>
      </c>
      <c r="B6990">
        <v>0.94969999999999999</v>
      </c>
    </row>
    <row r="6991" spans="1:2" x14ac:dyDescent="0.2">
      <c r="A6991" s="57">
        <v>36898</v>
      </c>
    </row>
    <row r="6992" spans="1:2" x14ac:dyDescent="0.2">
      <c r="A6992" s="57">
        <v>36897</v>
      </c>
    </row>
    <row r="6993" spans="1:2" x14ac:dyDescent="0.2">
      <c r="A6993" s="57">
        <v>36896</v>
      </c>
      <c r="B6993">
        <v>0.95450000000000002</v>
      </c>
    </row>
    <row r="6994" spans="1:2" x14ac:dyDescent="0.2">
      <c r="A6994" s="57">
        <v>36895</v>
      </c>
      <c r="B6994">
        <v>0.94579999999999997</v>
      </c>
    </row>
    <row r="6995" spans="1:2" x14ac:dyDescent="0.2">
      <c r="A6995" s="57">
        <v>36894</v>
      </c>
      <c r="B6995">
        <v>0.95299999999999996</v>
      </c>
    </row>
    <row r="6996" spans="1:2" x14ac:dyDescent="0.2">
      <c r="A6996" s="57">
        <v>36893</v>
      </c>
      <c r="B6996">
        <v>0.94230000000000003</v>
      </c>
    </row>
    <row r="6997" spans="1:2" x14ac:dyDescent="0.2">
      <c r="A6997" s="57">
        <v>36892</v>
      </c>
    </row>
    <row r="6998" spans="1:2" x14ac:dyDescent="0.2">
      <c r="A6998" s="57">
        <v>36891</v>
      </c>
    </row>
    <row r="6999" spans="1:2" x14ac:dyDescent="0.2">
      <c r="A6999" s="57">
        <v>36890</v>
      </c>
    </row>
    <row r="7000" spans="1:2" x14ac:dyDescent="0.2">
      <c r="A7000" s="57">
        <v>36889</v>
      </c>
      <c r="B7000">
        <v>0.93049999999999999</v>
      </c>
    </row>
    <row r="7001" spans="1:2" x14ac:dyDescent="0.2">
      <c r="A7001" s="57">
        <v>36888</v>
      </c>
      <c r="B7001">
        <v>0.92849999999999999</v>
      </c>
    </row>
    <row r="7002" spans="1:2" x14ac:dyDescent="0.2">
      <c r="A7002" s="57">
        <v>36887</v>
      </c>
      <c r="B7002">
        <v>0.93100000000000005</v>
      </c>
    </row>
    <row r="7003" spans="1:2" x14ac:dyDescent="0.2">
      <c r="A7003" s="57">
        <v>36886</v>
      </c>
    </row>
    <row r="7004" spans="1:2" x14ac:dyDescent="0.2">
      <c r="A7004" s="57">
        <v>36885</v>
      </c>
    </row>
    <row r="7005" spans="1:2" x14ac:dyDescent="0.2">
      <c r="A7005" s="57">
        <v>36884</v>
      </c>
    </row>
    <row r="7006" spans="1:2" x14ac:dyDescent="0.2">
      <c r="A7006" s="57">
        <v>36883</v>
      </c>
    </row>
    <row r="7007" spans="1:2" x14ac:dyDescent="0.2">
      <c r="A7007" s="57">
        <v>36882</v>
      </c>
      <c r="B7007">
        <v>0.92400000000000004</v>
      </c>
    </row>
    <row r="7008" spans="1:2" x14ac:dyDescent="0.2">
      <c r="A7008" s="57">
        <v>36881</v>
      </c>
      <c r="B7008">
        <v>0.91459999999999997</v>
      </c>
    </row>
    <row r="7009" spans="1:2" x14ac:dyDescent="0.2">
      <c r="A7009" s="57">
        <v>36880</v>
      </c>
      <c r="B7009">
        <v>0.90590000000000004</v>
      </c>
    </row>
    <row r="7010" spans="1:2" x14ac:dyDescent="0.2">
      <c r="A7010" s="57">
        <v>36879</v>
      </c>
      <c r="B7010">
        <v>0.89029999999999998</v>
      </c>
    </row>
    <row r="7011" spans="1:2" x14ac:dyDescent="0.2">
      <c r="A7011" s="57">
        <v>36878</v>
      </c>
      <c r="B7011">
        <v>0.89659999999999995</v>
      </c>
    </row>
    <row r="7012" spans="1:2" x14ac:dyDescent="0.2">
      <c r="A7012" s="57">
        <v>36877</v>
      </c>
    </row>
    <row r="7013" spans="1:2" x14ac:dyDescent="0.2">
      <c r="A7013" s="57">
        <v>36876</v>
      </c>
    </row>
    <row r="7014" spans="1:2" x14ac:dyDescent="0.2">
      <c r="A7014" s="57">
        <v>36875</v>
      </c>
      <c r="B7014">
        <v>0.89839999999999998</v>
      </c>
    </row>
    <row r="7015" spans="1:2" x14ac:dyDescent="0.2">
      <c r="A7015" s="57">
        <v>36874</v>
      </c>
      <c r="B7015">
        <v>0.88390000000000002</v>
      </c>
    </row>
    <row r="7016" spans="1:2" x14ac:dyDescent="0.2">
      <c r="A7016" s="57">
        <v>36873</v>
      </c>
      <c r="B7016">
        <v>0.87480000000000002</v>
      </c>
    </row>
    <row r="7017" spans="1:2" x14ac:dyDescent="0.2">
      <c r="A7017" s="57">
        <v>36872</v>
      </c>
      <c r="B7017">
        <v>0.87819999999999998</v>
      </c>
    </row>
    <row r="7018" spans="1:2" x14ac:dyDescent="0.2">
      <c r="A7018" s="57">
        <v>36871</v>
      </c>
      <c r="B7018">
        <v>0.88039999999999996</v>
      </c>
    </row>
    <row r="7019" spans="1:2" x14ac:dyDescent="0.2">
      <c r="A7019" s="57">
        <v>36870</v>
      </c>
    </row>
    <row r="7020" spans="1:2" x14ac:dyDescent="0.2">
      <c r="A7020" s="57">
        <v>36869</v>
      </c>
    </row>
    <row r="7021" spans="1:2" x14ac:dyDescent="0.2">
      <c r="A7021" s="57">
        <v>36868</v>
      </c>
      <c r="B7021">
        <v>0.88949999999999996</v>
      </c>
    </row>
    <row r="7022" spans="1:2" x14ac:dyDescent="0.2">
      <c r="A7022" s="57">
        <v>36867</v>
      </c>
      <c r="B7022">
        <v>0.89429999999999998</v>
      </c>
    </row>
    <row r="7023" spans="1:2" x14ac:dyDescent="0.2">
      <c r="A7023" s="57">
        <v>36866</v>
      </c>
      <c r="B7023">
        <v>0.88280000000000003</v>
      </c>
    </row>
    <row r="7024" spans="1:2" x14ac:dyDescent="0.2">
      <c r="A7024" s="57">
        <v>36865</v>
      </c>
      <c r="B7024">
        <v>0.88100000000000001</v>
      </c>
    </row>
    <row r="7025" spans="1:2" x14ac:dyDescent="0.2">
      <c r="A7025" s="57">
        <v>36864</v>
      </c>
      <c r="B7025">
        <v>0.89080000000000004</v>
      </c>
    </row>
    <row r="7026" spans="1:2" x14ac:dyDescent="0.2">
      <c r="A7026" s="57">
        <v>36863</v>
      </c>
    </row>
    <row r="7027" spans="1:2" x14ac:dyDescent="0.2">
      <c r="A7027" s="57">
        <v>36862</v>
      </c>
    </row>
    <row r="7028" spans="1:2" x14ac:dyDescent="0.2">
      <c r="A7028" s="57">
        <v>36861</v>
      </c>
      <c r="B7028">
        <v>0.87350000000000005</v>
      </c>
    </row>
    <row r="7029" spans="1:2" x14ac:dyDescent="0.2">
      <c r="A7029" s="57">
        <v>36860</v>
      </c>
      <c r="B7029">
        <v>0.86839999999999995</v>
      </c>
    </row>
    <row r="7030" spans="1:2" x14ac:dyDescent="0.2">
      <c r="A7030" s="57">
        <v>36859</v>
      </c>
      <c r="B7030">
        <v>0.86499999999999999</v>
      </c>
    </row>
    <row r="7031" spans="1:2" x14ac:dyDescent="0.2">
      <c r="A7031" s="57">
        <v>36858</v>
      </c>
      <c r="B7031">
        <v>0.85609999999999997</v>
      </c>
    </row>
    <row r="7032" spans="1:2" x14ac:dyDescent="0.2">
      <c r="A7032" s="57">
        <v>36857</v>
      </c>
      <c r="B7032">
        <v>0.84060000000000001</v>
      </c>
    </row>
    <row r="7033" spans="1:2" x14ac:dyDescent="0.2">
      <c r="A7033" s="57">
        <v>36856</v>
      </c>
    </row>
    <row r="7034" spans="1:2" x14ac:dyDescent="0.2">
      <c r="A7034" s="57">
        <v>36855</v>
      </c>
    </row>
    <row r="7035" spans="1:2" x14ac:dyDescent="0.2">
      <c r="A7035" s="57">
        <v>36854</v>
      </c>
      <c r="B7035">
        <v>0.84360000000000002</v>
      </c>
    </row>
    <row r="7036" spans="1:2" x14ac:dyDescent="0.2">
      <c r="A7036" s="57">
        <v>36853</v>
      </c>
      <c r="B7036">
        <v>0.8427</v>
      </c>
    </row>
    <row r="7037" spans="1:2" x14ac:dyDescent="0.2">
      <c r="A7037" s="57">
        <v>36852</v>
      </c>
      <c r="B7037">
        <v>0.84289999999999998</v>
      </c>
    </row>
    <row r="7038" spans="1:2" x14ac:dyDescent="0.2">
      <c r="A7038" s="57">
        <v>36851</v>
      </c>
      <c r="B7038">
        <v>0.84740000000000004</v>
      </c>
    </row>
    <row r="7039" spans="1:2" x14ac:dyDescent="0.2">
      <c r="A7039" s="57">
        <v>36850</v>
      </c>
      <c r="B7039">
        <v>0.8488</v>
      </c>
    </row>
    <row r="7040" spans="1:2" x14ac:dyDescent="0.2">
      <c r="A7040" s="57">
        <v>36849</v>
      </c>
    </row>
    <row r="7041" spans="1:2" x14ac:dyDescent="0.2">
      <c r="A7041" s="57">
        <v>36848</v>
      </c>
    </row>
    <row r="7042" spans="1:2" x14ac:dyDescent="0.2">
      <c r="A7042" s="57">
        <v>36847</v>
      </c>
      <c r="B7042">
        <v>0.85350000000000004</v>
      </c>
    </row>
    <row r="7043" spans="1:2" x14ac:dyDescent="0.2">
      <c r="A7043" s="57">
        <v>36846</v>
      </c>
      <c r="B7043">
        <v>0.8569</v>
      </c>
    </row>
    <row r="7044" spans="1:2" x14ac:dyDescent="0.2">
      <c r="A7044" s="57">
        <v>36845</v>
      </c>
      <c r="B7044">
        <v>0.85960000000000003</v>
      </c>
    </row>
    <row r="7045" spans="1:2" x14ac:dyDescent="0.2">
      <c r="A7045" s="57">
        <v>36844</v>
      </c>
      <c r="B7045">
        <v>0.85829999999999995</v>
      </c>
    </row>
    <row r="7046" spans="1:2" x14ac:dyDescent="0.2">
      <c r="A7046" s="57">
        <v>36843</v>
      </c>
      <c r="B7046">
        <v>0.86199999999999999</v>
      </c>
    </row>
    <row r="7047" spans="1:2" x14ac:dyDescent="0.2">
      <c r="A7047" s="57">
        <v>36842</v>
      </c>
    </row>
    <row r="7048" spans="1:2" x14ac:dyDescent="0.2">
      <c r="A7048" s="57">
        <v>36841</v>
      </c>
    </row>
    <row r="7049" spans="1:2" x14ac:dyDescent="0.2">
      <c r="A7049" s="57">
        <v>36840</v>
      </c>
      <c r="B7049">
        <v>0.86729999999999996</v>
      </c>
    </row>
    <row r="7050" spans="1:2" x14ac:dyDescent="0.2">
      <c r="A7050" s="57">
        <v>36839</v>
      </c>
      <c r="B7050">
        <v>0.85309999999999997</v>
      </c>
    </row>
    <row r="7051" spans="1:2" x14ac:dyDescent="0.2">
      <c r="A7051" s="57">
        <v>36838</v>
      </c>
      <c r="B7051">
        <v>0.85589999999999999</v>
      </c>
    </row>
    <row r="7052" spans="1:2" x14ac:dyDescent="0.2">
      <c r="A7052" s="57">
        <v>36837</v>
      </c>
      <c r="B7052">
        <v>0.85870000000000002</v>
      </c>
    </row>
    <row r="7053" spans="1:2" x14ac:dyDescent="0.2">
      <c r="A7053" s="57">
        <v>36836</v>
      </c>
      <c r="B7053">
        <v>0.86670000000000003</v>
      </c>
    </row>
    <row r="7054" spans="1:2" x14ac:dyDescent="0.2">
      <c r="A7054" s="57">
        <v>36835</v>
      </c>
    </row>
    <row r="7055" spans="1:2" x14ac:dyDescent="0.2">
      <c r="A7055" s="57">
        <v>36834</v>
      </c>
    </row>
    <row r="7056" spans="1:2" x14ac:dyDescent="0.2">
      <c r="A7056" s="57">
        <v>36833</v>
      </c>
      <c r="B7056">
        <v>0.873</v>
      </c>
    </row>
    <row r="7057" spans="1:2" x14ac:dyDescent="0.2">
      <c r="A7057" s="57">
        <v>36832</v>
      </c>
      <c r="B7057">
        <v>0.86460000000000004</v>
      </c>
    </row>
    <row r="7058" spans="1:2" x14ac:dyDescent="0.2">
      <c r="A7058" s="57">
        <v>36831</v>
      </c>
      <c r="B7058">
        <v>0.85540000000000005</v>
      </c>
    </row>
    <row r="7059" spans="1:2" x14ac:dyDescent="0.2">
      <c r="A7059" s="57">
        <v>36830</v>
      </c>
      <c r="B7059">
        <v>0.8417</v>
      </c>
    </row>
    <row r="7060" spans="1:2" x14ac:dyDescent="0.2">
      <c r="A7060" s="57">
        <v>36829</v>
      </c>
      <c r="B7060">
        <v>0.84819999999999995</v>
      </c>
    </row>
    <row r="7061" spans="1:2" x14ac:dyDescent="0.2">
      <c r="A7061" s="57">
        <v>36828</v>
      </c>
    </row>
    <row r="7062" spans="1:2" x14ac:dyDescent="0.2">
      <c r="A7062" s="57">
        <v>36827</v>
      </c>
    </row>
    <row r="7063" spans="1:2" x14ac:dyDescent="0.2">
      <c r="A7063" s="57">
        <v>36826</v>
      </c>
      <c r="B7063">
        <v>0.83240000000000003</v>
      </c>
    </row>
    <row r="7064" spans="1:2" x14ac:dyDescent="0.2">
      <c r="A7064" s="57">
        <v>36825</v>
      </c>
      <c r="B7064">
        <v>0.82520000000000004</v>
      </c>
    </row>
    <row r="7065" spans="1:2" x14ac:dyDescent="0.2">
      <c r="A7065" s="57">
        <v>36824</v>
      </c>
      <c r="B7065">
        <v>0.83069999999999999</v>
      </c>
    </row>
    <row r="7066" spans="1:2" x14ac:dyDescent="0.2">
      <c r="A7066" s="57">
        <v>36823</v>
      </c>
      <c r="B7066">
        <v>0.83860000000000001</v>
      </c>
    </row>
    <row r="7067" spans="1:2" x14ac:dyDescent="0.2">
      <c r="A7067" s="57">
        <v>36822</v>
      </c>
      <c r="B7067">
        <v>0.8377</v>
      </c>
    </row>
    <row r="7068" spans="1:2" x14ac:dyDescent="0.2">
      <c r="A7068" s="57">
        <v>36821</v>
      </c>
    </row>
    <row r="7069" spans="1:2" x14ac:dyDescent="0.2">
      <c r="A7069" s="57">
        <v>36820</v>
      </c>
    </row>
    <row r="7070" spans="1:2" x14ac:dyDescent="0.2">
      <c r="A7070" s="57">
        <v>36819</v>
      </c>
      <c r="B7070">
        <v>0.84519999999999995</v>
      </c>
    </row>
    <row r="7071" spans="1:2" x14ac:dyDescent="0.2">
      <c r="A7071" s="57">
        <v>36818</v>
      </c>
      <c r="B7071">
        <v>0.84109999999999996</v>
      </c>
    </row>
    <row r="7072" spans="1:2" x14ac:dyDescent="0.2">
      <c r="A7072" s="57">
        <v>36817</v>
      </c>
      <c r="B7072">
        <v>0.85250000000000004</v>
      </c>
    </row>
    <row r="7073" spans="1:2" x14ac:dyDescent="0.2">
      <c r="A7073" s="57">
        <v>36816</v>
      </c>
      <c r="B7073">
        <v>0.84960000000000002</v>
      </c>
    </row>
    <row r="7074" spans="1:2" x14ac:dyDescent="0.2">
      <c r="A7074" s="57">
        <v>36815</v>
      </c>
      <c r="B7074">
        <v>0.85109999999999997</v>
      </c>
    </row>
    <row r="7075" spans="1:2" x14ac:dyDescent="0.2">
      <c r="A7075" s="57">
        <v>36814</v>
      </c>
    </row>
    <row r="7076" spans="1:2" x14ac:dyDescent="0.2">
      <c r="A7076" s="57">
        <v>36813</v>
      </c>
    </row>
    <row r="7077" spans="1:2" x14ac:dyDescent="0.2">
      <c r="A7077" s="57">
        <v>36812</v>
      </c>
      <c r="B7077">
        <v>0.86270000000000002</v>
      </c>
    </row>
    <row r="7078" spans="1:2" x14ac:dyDescent="0.2">
      <c r="A7078" s="57">
        <v>36811</v>
      </c>
      <c r="B7078">
        <v>0.86480000000000001</v>
      </c>
    </row>
    <row r="7079" spans="1:2" x14ac:dyDescent="0.2">
      <c r="A7079" s="57">
        <v>36810</v>
      </c>
      <c r="B7079">
        <v>0.872</v>
      </c>
    </row>
    <row r="7080" spans="1:2" x14ac:dyDescent="0.2">
      <c r="A7080" s="57">
        <v>36809</v>
      </c>
      <c r="B7080">
        <v>0.87209999999999999</v>
      </c>
    </row>
    <row r="7081" spans="1:2" x14ac:dyDescent="0.2">
      <c r="A7081" s="57">
        <v>36808</v>
      </c>
      <c r="B7081">
        <v>0.86950000000000005</v>
      </c>
    </row>
    <row r="7082" spans="1:2" x14ac:dyDescent="0.2">
      <c r="A7082" s="57">
        <v>36807</v>
      </c>
    </row>
    <row r="7083" spans="1:2" x14ac:dyDescent="0.2">
      <c r="A7083" s="57">
        <v>36806</v>
      </c>
    </row>
    <row r="7084" spans="1:2" x14ac:dyDescent="0.2">
      <c r="A7084" s="57">
        <v>36805</v>
      </c>
      <c r="B7084">
        <v>0.87029999999999996</v>
      </c>
    </row>
    <row r="7085" spans="1:2" x14ac:dyDescent="0.2">
      <c r="A7085" s="57">
        <v>36804</v>
      </c>
      <c r="B7085">
        <v>0.87860000000000005</v>
      </c>
    </row>
    <row r="7086" spans="1:2" x14ac:dyDescent="0.2">
      <c r="A7086" s="57">
        <v>36803</v>
      </c>
      <c r="B7086">
        <v>0.873</v>
      </c>
    </row>
    <row r="7087" spans="1:2" x14ac:dyDescent="0.2">
      <c r="A7087" s="57">
        <v>36802</v>
      </c>
      <c r="B7087">
        <v>0.87629999999999997</v>
      </c>
    </row>
    <row r="7088" spans="1:2" x14ac:dyDescent="0.2">
      <c r="A7088" s="57">
        <v>36801</v>
      </c>
      <c r="B7088">
        <v>0.88019999999999998</v>
      </c>
    </row>
    <row r="7089" spans="1:2" x14ac:dyDescent="0.2">
      <c r="A7089" s="57">
        <v>36800</v>
      </c>
    </row>
    <row r="7090" spans="1:2" x14ac:dyDescent="0.2">
      <c r="A7090" s="57">
        <v>36799</v>
      </c>
    </row>
    <row r="7091" spans="1:2" x14ac:dyDescent="0.2">
      <c r="A7091" s="57">
        <v>36798</v>
      </c>
      <c r="B7091">
        <v>0.87649999999999995</v>
      </c>
    </row>
    <row r="7092" spans="1:2" x14ac:dyDescent="0.2">
      <c r="A7092" s="57">
        <v>36797</v>
      </c>
      <c r="B7092">
        <v>0.88319999999999999</v>
      </c>
    </row>
    <row r="7093" spans="1:2" x14ac:dyDescent="0.2">
      <c r="A7093" s="57">
        <v>36796</v>
      </c>
      <c r="B7093">
        <v>0.8861</v>
      </c>
    </row>
    <row r="7094" spans="1:2" x14ac:dyDescent="0.2">
      <c r="A7094" s="57">
        <v>36795</v>
      </c>
      <c r="B7094">
        <v>0.87570000000000003</v>
      </c>
    </row>
    <row r="7095" spans="1:2" x14ac:dyDescent="0.2">
      <c r="A7095" s="57">
        <v>36794</v>
      </c>
      <c r="B7095">
        <v>0.877</v>
      </c>
    </row>
    <row r="7096" spans="1:2" x14ac:dyDescent="0.2">
      <c r="A7096" s="57">
        <v>36793</v>
      </c>
    </row>
    <row r="7097" spans="1:2" x14ac:dyDescent="0.2">
      <c r="A7097" s="57">
        <v>36792</v>
      </c>
    </row>
    <row r="7098" spans="1:2" x14ac:dyDescent="0.2">
      <c r="A7098" s="57">
        <v>36791</v>
      </c>
      <c r="B7098">
        <v>0.88900000000000001</v>
      </c>
    </row>
    <row r="7099" spans="1:2" x14ac:dyDescent="0.2">
      <c r="A7099" s="57">
        <v>36790</v>
      </c>
      <c r="B7099">
        <v>0.85240000000000005</v>
      </c>
    </row>
    <row r="7100" spans="1:2" x14ac:dyDescent="0.2">
      <c r="A7100" s="57">
        <v>36789</v>
      </c>
      <c r="B7100">
        <v>0.84760000000000002</v>
      </c>
    </row>
    <row r="7101" spans="1:2" x14ac:dyDescent="0.2">
      <c r="A7101" s="57">
        <v>36788</v>
      </c>
      <c r="B7101">
        <v>0.85409999999999997</v>
      </c>
    </row>
    <row r="7102" spans="1:2" x14ac:dyDescent="0.2">
      <c r="A7102" s="57">
        <v>36787</v>
      </c>
      <c r="B7102">
        <v>0.85260000000000002</v>
      </c>
    </row>
    <row r="7103" spans="1:2" x14ac:dyDescent="0.2">
      <c r="A7103" s="57">
        <v>36786</v>
      </c>
    </row>
    <row r="7104" spans="1:2" x14ac:dyDescent="0.2">
      <c r="A7104" s="57">
        <v>36785</v>
      </c>
    </row>
    <row r="7105" spans="1:2" x14ac:dyDescent="0.2">
      <c r="A7105" s="57">
        <v>36784</v>
      </c>
      <c r="B7105">
        <v>0.86150000000000004</v>
      </c>
    </row>
    <row r="7106" spans="1:2" x14ac:dyDescent="0.2">
      <c r="A7106" s="57">
        <v>36783</v>
      </c>
      <c r="B7106">
        <v>0.86929999999999996</v>
      </c>
    </row>
    <row r="7107" spans="1:2" x14ac:dyDescent="0.2">
      <c r="A7107" s="57">
        <v>36782</v>
      </c>
      <c r="B7107">
        <v>0.86539999999999995</v>
      </c>
    </row>
    <row r="7108" spans="1:2" x14ac:dyDescent="0.2">
      <c r="A7108" s="57">
        <v>36781</v>
      </c>
      <c r="B7108">
        <v>0.86140000000000005</v>
      </c>
    </row>
    <row r="7109" spans="1:2" x14ac:dyDescent="0.2">
      <c r="A7109" s="57">
        <v>36780</v>
      </c>
      <c r="B7109">
        <v>0.8609</v>
      </c>
    </row>
    <row r="7110" spans="1:2" x14ac:dyDescent="0.2">
      <c r="A7110" s="57">
        <v>36779</v>
      </c>
    </row>
    <row r="7111" spans="1:2" x14ac:dyDescent="0.2">
      <c r="A7111" s="57">
        <v>36778</v>
      </c>
    </row>
    <row r="7112" spans="1:2" x14ac:dyDescent="0.2">
      <c r="A7112" s="57">
        <v>36777</v>
      </c>
      <c r="B7112">
        <v>0.87350000000000005</v>
      </c>
    </row>
    <row r="7113" spans="1:2" x14ac:dyDescent="0.2">
      <c r="A7113" s="57">
        <v>36776</v>
      </c>
      <c r="B7113">
        <v>0.86760000000000004</v>
      </c>
    </row>
    <row r="7114" spans="1:2" x14ac:dyDescent="0.2">
      <c r="A7114" s="57">
        <v>36775</v>
      </c>
      <c r="B7114">
        <v>0.88180000000000003</v>
      </c>
    </row>
    <row r="7115" spans="1:2" x14ac:dyDescent="0.2">
      <c r="A7115" s="57">
        <v>36774</v>
      </c>
      <c r="B7115">
        <v>0.88859999999999995</v>
      </c>
    </row>
    <row r="7116" spans="1:2" x14ac:dyDescent="0.2">
      <c r="A7116" s="57">
        <v>36773</v>
      </c>
      <c r="B7116">
        <v>0.9</v>
      </c>
    </row>
    <row r="7117" spans="1:2" x14ac:dyDescent="0.2">
      <c r="A7117" s="57">
        <v>36772</v>
      </c>
    </row>
    <row r="7118" spans="1:2" x14ac:dyDescent="0.2">
      <c r="A7118" s="57">
        <v>36771</v>
      </c>
    </row>
    <row r="7119" spans="1:2" x14ac:dyDescent="0.2">
      <c r="A7119" s="57">
        <v>36770</v>
      </c>
      <c r="B7119">
        <v>0.89019999999999999</v>
      </c>
    </row>
    <row r="7120" spans="1:2" x14ac:dyDescent="0.2">
      <c r="A7120" s="57">
        <v>36769</v>
      </c>
      <c r="B7120">
        <v>0.89059999999999995</v>
      </c>
    </row>
    <row r="7121" spans="1:2" x14ac:dyDescent="0.2">
      <c r="A7121" s="57">
        <v>36768</v>
      </c>
      <c r="B7121">
        <v>0.89090000000000003</v>
      </c>
    </row>
    <row r="7122" spans="1:2" x14ac:dyDescent="0.2">
      <c r="A7122" s="57">
        <v>36767</v>
      </c>
      <c r="B7122">
        <v>0.89649999999999996</v>
      </c>
    </row>
    <row r="7123" spans="1:2" x14ac:dyDescent="0.2">
      <c r="A7123" s="57">
        <v>36766</v>
      </c>
      <c r="B7123">
        <v>0.90069999999999995</v>
      </c>
    </row>
    <row r="7124" spans="1:2" x14ac:dyDescent="0.2">
      <c r="A7124" s="57">
        <v>36765</v>
      </c>
    </row>
    <row r="7125" spans="1:2" x14ac:dyDescent="0.2">
      <c r="A7125" s="57">
        <v>36764</v>
      </c>
    </row>
    <row r="7126" spans="1:2" x14ac:dyDescent="0.2">
      <c r="A7126" s="57">
        <v>36763</v>
      </c>
      <c r="B7126">
        <v>0.90210000000000001</v>
      </c>
    </row>
    <row r="7127" spans="1:2" x14ac:dyDescent="0.2">
      <c r="A7127" s="57">
        <v>36762</v>
      </c>
      <c r="B7127">
        <v>0.9012</v>
      </c>
    </row>
    <row r="7128" spans="1:2" x14ac:dyDescent="0.2">
      <c r="A7128" s="57">
        <v>36761</v>
      </c>
      <c r="B7128">
        <v>0.89180000000000004</v>
      </c>
    </row>
    <row r="7129" spans="1:2" x14ac:dyDescent="0.2">
      <c r="A7129" s="57">
        <v>36760</v>
      </c>
      <c r="B7129">
        <v>0.8972</v>
      </c>
    </row>
    <row r="7130" spans="1:2" x14ac:dyDescent="0.2">
      <c r="A7130" s="57">
        <v>36759</v>
      </c>
      <c r="B7130">
        <v>0.90229999999999999</v>
      </c>
    </row>
    <row r="7131" spans="1:2" x14ac:dyDescent="0.2">
      <c r="A7131" s="57">
        <v>36758</v>
      </c>
    </row>
    <row r="7132" spans="1:2" x14ac:dyDescent="0.2">
      <c r="A7132" s="57">
        <v>36757</v>
      </c>
    </row>
    <row r="7133" spans="1:2" x14ac:dyDescent="0.2">
      <c r="A7133" s="57">
        <v>36756</v>
      </c>
      <c r="B7133">
        <v>0.91269999999999996</v>
      </c>
    </row>
    <row r="7134" spans="1:2" x14ac:dyDescent="0.2">
      <c r="A7134" s="57">
        <v>36755</v>
      </c>
      <c r="B7134">
        <v>0.91400000000000003</v>
      </c>
    </row>
    <row r="7135" spans="1:2" x14ac:dyDescent="0.2">
      <c r="A7135" s="57">
        <v>36754</v>
      </c>
      <c r="B7135">
        <v>0.90720000000000001</v>
      </c>
    </row>
    <row r="7136" spans="1:2" x14ac:dyDescent="0.2">
      <c r="A7136" s="57">
        <v>36753</v>
      </c>
      <c r="B7136">
        <v>0.91180000000000005</v>
      </c>
    </row>
    <row r="7137" spans="1:2" x14ac:dyDescent="0.2">
      <c r="A7137" s="57">
        <v>36752</v>
      </c>
      <c r="B7137">
        <v>0.90110000000000001</v>
      </c>
    </row>
    <row r="7138" spans="1:2" x14ac:dyDescent="0.2">
      <c r="A7138" s="57">
        <v>36751</v>
      </c>
    </row>
    <row r="7139" spans="1:2" x14ac:dyDescent="0.2">
      <c r="A7139" s="57">
        <v>36750</v>
      </c>
    </row>
    <row r="7140" spans="1:2" x14ac:dyDescent="0.2">
      <c r="A7140" s="57">
        <v>36749</v>
      </c>
      <c r="B7140">
        <v>0.91320000000000001</v>
      </c>
    </row>
    <row r="7141" spans="1:2" x14ac:dyDescent="0.2">
      <c r="A7141" s="57">
        <v>36748</v>
      </c>
      <c r="B7141">
        <v>0.90310000000000001</v>
      </c>
    </row>
    <row r="7142" spans="1:2" x14ac:dyDescent="0.2">
      <c r="A7142" s="57">
        <v>36747</v>
      </c>
      <c r="B7142">
        <v>0.89729999999999999</v>
      </c>
    </row>
    <row r="7143" spans="1:2" x14ac:dyDescent="0.2">
      <c r="A7143" s="57">
        <v>36746</v>
      </c>
      <c r="B7143">
        <v>0.90469999999999995</v>
      </c>
    </row>
    <row r="7144" spans="1:2" x14ac:dyDescent="0.2">
      <c r="A7144" s="57">
        <v>36745</v>
      </c>
      <c r="B7144">
        <v>0.90839999999999999</v>
      </c>
    </row>
    <row r="7145" spans="1:2" x14ac:dyDescent="0.2">
      <c r="A7145" s="57">
        <v>36744</v>
      </c>
    </row>
    <row r="7146" spans="1:2" x14ac:dyDescent="0.2">
      <c r="A7146" s="57">
        <v>36743</v>
      </c>
    </row>
    <row r="7147" spans="1:2" x14ac:dyDescent="0.2">
      <c r="A7147" s="57">
        <v>36742</v>
      </c>
      <c r="B7147">
        <v>0.90310000000000001</v>
      </c>
    </row>
    <row r="7148" spans="1:2" x14ac:dyDescent="0.2">
      <c r="A7148" s="57">
        <v>36741</v>
      </c>
      <c r="B7148">
        <v>0.90280000000000005</v>
      </c>
    </row>
    <row r="7149" spans="1:2" x14ac:dyDescent="0.2">
      <c r="A7149" s="57">
        <v>36740</v>
      </c>
      <c r="B7149">
        <v>0.91420000000000001</v>
      </c>
    </row>
    <row r="7150" spans="1:2" x14ac:dyDescent="0.2">
      <c r="A7150" s="57">
        <v>36739</v>
      </c>
      <c r="B7150">
        <v>0.9264</v>
      </c>
    </row>
    <row r="7151" spans="1:2" x14ac:dyDescent="0.2">
      <c r="A7151" s="57">
        <v>36738</v>
      </c>
      <c r="B7151">
        <v>0.92430000000000001</v>
      </c>
    </row>
    <row r="7152" spans="1:2" x14ac:dyDescent="0.2">
      <c r="A7152" s="57">
        <v>36737</v>
      </c>
    </row>
    <row r="7153" spans="1:2" x14ac:dyDescent="0.2">
      <c r="A7153" s="57">
        <v>36736</v>
      </c>
    </row>
    <row r="7154" spans="1:2" x14ac:dyDescent="0.2">
      <c r="A7154" s="57">
        <v>36735</v>
      </c>
      <c r="B7154">
        <v>0.92759999999999998</v>
      </c>
    </row>
    <row r="7155" spans="1:2" x14ac:dyDescent="0.2">
      <c r="A7155" s="57">
        <v>36734</v>
      </c>
      <c r="B7155">
        <v>0.93889999999999996</v>
      </c>
    </row>
    <row r="7156" spans="1:2" x14ac:dyDescent="0.2">
      <c r="A7156" s="57">
        <v>36733</v>
      </c>
      <c r="B7156">
        <v>0.93899999999999995</v>
      </c>
    </row>
    <row r="7157" spans="1:2" x14ac:dyDescent="0.2">
      <c r="A7157" s="57">
        <v>36732</v>
      </c>
      <c r="B7157">
        <v>0.94099999999999995</v>
      </c>
    </row>
    <row r="7158" spans="1:2" x14ac:dyDescent="0.2">
      <c r="A7158" s="57">
        <v>36731</v>
      </c>
      <c r="B7158">
        <v>0.93320000000000003</v>
      </c>
    </row>
    <row r="7159" spans="1:2" x14ac:dyDescent="0.2">
      <c r="A7159" s="57">
        <v>36730</v>
      </c>
    </row>
    <row r="7160" spans="1:2" x14ac:dyDescent="0.2">
      <c r="A7160" s="57">
        <v>36729</v>
      </c>
    </row>
    <row r="7161" spans="1:2" x14ac:dyDescent="0.2">
      <c r="A7161" s="57">
        <v>36728</v>
      </c>
      <c r="B7161">
        <v>0.93630000000000002</v>
      </c>
    </row>
    <row r="7162" spans="1:2" x14ac:dyDescent="0.2">
      <c r="A7162" s="57">
        <v>36727</v>
      </c>
      <c r="B7162">
        <v>0.92200000000000004</v>
      </c>
    </row>
    <row r="7163" spans="1:2" x14ac:dyDescent="0.2">
      <c r="A7163" s="57">
        <v>36726</v>
      </c>
      <c r="B7163">
        <v>0.92159999999999997</v>
      </c>
    </row>
    <row r="7164" spans="1:2" x14ac:dyDescent="0.2">
      <c r="A7164" s="57">
        <v>36725</v>
      </c>
      <c r="B7164">
        <v>0.93530000000000002</v>
      </c>
    </row>
    <row r="7165" spans="1:2" x14ac:dyDescent="0.2">
      <c r="A7165" s="57">
        <v>36724</v>
      </c>
      <c r="B7165">
        <v>0.93520000000000003</v>
      </c>
    </row>
    <row r="7166" spans="1:2" x14ac:dyDescent="0.2">
      <c r="A7166" s="57">
        <v>36723</v>
      </c>
    </row>
    <row r="7167" spans="1:2" x14ac:dyDescent="0.2">
      <c r="A7167" s="57">
        <v>36722</v>
      </c>
    </row>
    <row r="7168" spans="1:2" x14ac:dyDescent="0.2">
      <c r="A7168" s="57">
        <v>36721</v>
      </c>
      <c r="B7168">
        <v>0.93440000000000001</v>
      </c>
    </row>
    <row r="7169" spans="1:2" x14ac:dyDescent="0.2">
      <c r="A7169" s="57">
        <v>36720</v>
      </c>
      <c r="B7169">
        <v>0.93489999999999995</v>
      </c>
    </row>
    <row r="7170" spans="1:2" x14ac:dyDescent="0.2">
      <c r="A7170" s="57">
        <v>36719</v>
      </c>
      <c r="B7170">
        <v>0.94989999999999997</v>
      </c>
    </row>
    <row r="7171" spans="1:2" x14ac:dyDescent="0.2">
      <c r="A7171" s="57">
        <v>36718</v>
      </c>
      <c r="B7171">
        <v>0.95269999999999999</v>
      </c>
    </row>
    <row r="7172" spans="1:2" x14ac:dyDescent="0.2">
      <c r="A7172" s="57">
        <v>36717</v>
      </c>
      <c r="B7172">
        <v>0.95230000000000004</v>
      </c>
    </row>
    <row r="7173" spans="1:2" x14ac:dyDescent="0.2">
      <c r="A7173" s="57">
        <v>36716</v>
      </c>
    </row>
    <row r="7174" spans="1:2" x14ac:dyDescent="0.2">
      <c r="A7174" s="57">
        <v>36715</v>
      </c>
    </row>
    <row r="7175" spans="1:2" x14ac:dyDescent="0.2">
      <c r="A7175" s="57">
        <v>36714</v>
      </c>
      <c r="B7175">
        <v>0.94830000000000003</v>
      </c>
    </row>
    <row r="7176" spans="1:2" x14ac:dyDescent="0.2">
      <c r="A7176" s="57">
        <v>36713</v>
      </c>
      <c r="B7176">
        <v>0.95420000000000005</v>
      </c>
    </row>
    <row r="7177" spans="1:2" x14ac:dyDescent="0.2">
      <c r="A7177" s="57">
        <v>36712</v>
      </c>
      <c r="B7177">
        <v>0.95369999999999999</v>
      </c>
    </row>
    <row r="7178" spans="1:2" x14ac:dyDescent="0.2">
      <c r="A7178" s="57">
        <v>36711</v>
      </c>
      <c r="B7178">
        <v>0.94869999999999999</v>
      </c>
    </row>
    <row r="7179" spans="1:2" x14ac:dyDescent="0.2">
      <c r="A7179" s="57">
        <v>36710</v>
      </c>
      <c r="B7179">
        <v>0.94930000000000003</v>
      </c>
    </row>
    <row r="7180" spans="1:2" x14ac:dyDescent="0.2">
      <c r="A7180" s="57">
        <v>36709</v>
      </c>
    </row>
    <row r="7181" spans="1:2" x14ac:dyDescent="0.2">
      <c r="A7181" s="57">
        <v>36708</v>
      </c>
    </row>
    <row r="7182" spans="1:2" x14ac:dyDescent="0.2">
      <c r="A7182" s="57">
        <v>36707</v>
      </c>
      <c r="B7182">
        <v>0.9556</v>
      </c>
    </row>
    <row r="7183" spans="1:2" x14ac:dyDescent="0.2">
      <c r="A7183" s="57">
        <v>36706</v>
      </c>
      <c r="B7183">
        <v>0.95040000000000002</v>
      </c>
    </row>
    <row r="7184" spans="1:2" x14ac:dyDescent="0.2">
      <c r="A7184" s="57">
        <v>36705</v>
      </c>
      <c r="B7184">
        <v>0.9415</v>
      </c>
    </row>
    <row r="7185" spans="1:2" x14ac:dyDescent="0.2">
      <c r="A7185" s="57">
        <v>36704</v>
      </c>
      <c r="B7185">
        <v>0.94010000000000005</v>
      </c>
    </row>
    <row r="7186" spans="1:2" x14ac:dyDescent="0.2">
      <c r="A7186" s="57">
        <v>36703</v>
      </c>
      <c r="B7186">
        <v>0.93269999999999997</v>
      </c>
    </row>
    <row r="7187" spans="1:2" x14ac:dyDescent="0.2">
      <c r="A7187" s="57">
        <v>36702</v>
      </c>
    </row>
    <row r="7188" spans="1:2" x14ac:dyDescent="0.2">
      <c r="A7188" s="57">
        <v>36701</v>
      </c>
    </row>
    <row r="7189" spans="1:2" x14ac:dyDescent="0.2">
      <c r="A7189" s="57">
        <v>36700</v>
      </c>
      <c r="B7189">
        <v>0.94130000000000003</v>
      </c>
    </row>
    <row r="7190" spans="1:2" x14ac:dyDescent="0.2">
      <c r="A7190" s="57">
        <v>36699</v>
      </c>
      <c r="B7190">
        <v>0.9405</v>
      </c>
    </row>
    <row r="7191" spans="1:2" x14ac:dyDescent="0.2">
      <c r="A7191" s="57">
        <v>36698</v>
      </c>
      <c r="B7191">
        <v>0.94699999999999995</v>
      </c>
    </row>
    <row r="7192" spans="1:2" x14ac:dyDescent="0.2">
      <c r="A7192" s="57">
        <v>36697</v>
      </c>
      <c r="B7192">
        <v>0.95379999999999998</v>
      </c>
    </row>
    <row r="7193" spans="1:2" x14ac:dyDescent="0.2">
      <c r="A7193" s="57">
        <v>36696</v>
      </c>
      <c r="B7193">
        <v>0.96399999999999997</v>
      </c>
    </row>
    <row r="7194" spans="1:2" x14ac:dyDescent="0.2">
      <c r="A7194" s="57">
        <v>36695</v>
      </c>
    </row>
    <row r="7195" spans="1:2" x14ac:dyDescent="0.2">
      <c r="A7195" s="57">
        <v>36694</v>
      </c>
    </row>
    <row r="7196" spans="1:2" x14ac:dyDescent="0.2">
      <c r="A7196" s="57">
        <v>36693</v>
      </c>
      <c r="B7196">
        <v>0.95650000000000002</v>
      </c>
    </row>
    <row r="7197" spans="1:2" x14ac:dyDescent="0.2">
      <c r="A7197" s="57">
        <v>36692</v>
      </c>
      <c r="B7197">
        <v>0.95240000000000002</v>
      </c>
    </row>
    <row r="7198" spans="1:2" x14ac:dyDescent="0.2">
      <c r="A7198" s="57">
        <v>36691</v>
      </c>
      <c r="B7198">
        <v>0.96360000000000001</v>
      </c>
    </row>
    <row r="7199" spans="1:2" x14ac:dyDescent="0.2">
      <c r="A7199" s="57">
        <v>36690</v>
      </c>
      <c r="B7199">
        <v>0.95830000000000004</v>
      </c>
    </row>
    <row r="7200" spans="1:2" x14ac:dyDescent="0.2">
      <c r="A7200" s="57">
        <v>36689</v>
      </c>
      <c r="B7200">
        <v>0.95269999999999999</v>
      </c>
    </row>
    <row r="7201" spans="1:2" x14ac:dyDescent="0.2">
      <c r="A7201" s="57">
        <v>36688</v>
      </c>
    </row>
    <row r="7202" spans="1:2" x14ac:dyDescent="0.2">
      <c r="A7202" s="57">
        <v>36687</v>
      </c>
    </row>
    <row r="7203" spans="1:2" x14ac:dyDescent="0.2">
      <c r="A7203" s="57">
        <v>36686</v>
      </c>
      <c r="B7203">
        <v>0.94899999999999995</v>
      </c>
    </row>
    <row r="7204" spans="1:2" x14ac:dyDescent="0.2">
      <c r="A7204" s="57">
        <v>36685</v>
      </c>
      <c r="B7204">
        <v>0.96679999999999999</v>
      </c>
    </row>
    <row r="7205" spans="1:2" x14ac:dyDescent="0.2">
      <c r="A7205" s="57">
        <v>36684</v>
      </c>
      <c r="B7205">
        <v>0.95540000000000003</v>
      </c>
    </row>
    <row r="7206" spans="1:2" x14ac:dyDescent="0.2">
      <c r="A7206" s="57">
        <v>36683</v>
      </c>
      <c r="B7206">
        <v>0.94850000000000001</v>
      </c>
    </row>
    <row r="7207" spans="1:2" x14ac:dyDescent="0.2">
      <c r="A7207" s="57">
        <v>36682</v>
      </c>
      <c r="B7207">
        <v>0.94330000000000003</v>
      </c>
    </row>
    <row r="7208" spans="1:2" x14ac:dyDescent="0.2">
      <c r="A7208" s="57">
        <v>36681</v>
      </c>
    </row>
    <row r="7209" spans="1:2" x14ac:dyDescent="0.2">
      <c r="A7209" s="57">
        <v>36680</v>
      </c>
    </row>
    <row r="7210" spans="1:2" x14ac:dyDescent="0.2">
      <c r="A7210" s="57">
        <v>36679</v>
      </c>
      <c r="B7210">
        <v>0.9355</v>
      </c>
    </row>
    <row r="7211" spans="1:2" x14ac:dyDescent="0.2">
      <c r="A7211" s="57">
        <v>36678</v>
      </c>
      <c r="B7211">
        <v>0.93300000000000005</v>
      </c>
    </row>
    <row r="7212" spans="1:2" x14ac:dyDescent="0.2">
      <c r="A7212" s="57">
        <v>36677</v>
      </c>
      <c r="B7212">
        <v>0.93030000000000002</v>
      </c>
    </row>
    <row r="7213" spans="1:2" x14ac:dyDescent="0.2">
      <c r="A7213" s="57">
        <v>36676</v>
      </c>
      <c r="B7213">
        <v>0.93589999999999995</v>
      </c>
    </row>
    <row r="7214" spans="1:2" x14ac:dyDescent="0.2">
      <c r="A7214" s="57">
        <v>36675</v>
      </c>
      <c r="B7214">
        <v>0.92620000000000002</v>
      </c>
    </row>
    <row r="7215" spans="1:2" x14ac:dyDescent="0.2">
      <c r="A7215" s="57">
        <v>36674</v>
      </c>
    </row>
    <row r="7216" spans="1:2" x14ac:dyDescent="0.2">
      <c r="A7216" s="57">
        <v>36673</v>
      </c>
    </row>
    <row r="7217" spans="1:2" x14ac:dyDescent="0.2">
      <c r="A7217" s="57">
        <v>36672</v>
      </c>
      <c r="B7217">
        <v>0.9143</v>
      </c>
    </row>
    <row r="7218" spans="1:2" x14ac:dyDescent="0.2">
      <c r="A7218" s="57">
        <v>36671</v>
      </c>
      <c r="B7218">
        <v>0.89810000000000001</v>
      </c>
    </row>
    <row r="7219" spans="1:2" x14ac:dyDescent="0.2">
      <c r="A7219" s="57">
        <v>36670</v>
      </c>
      <c r="B7219">
        <v>0.90980000000000005</v>
      </c>
    </row>
    <row r="7220" spans="1:2" x14ac:dyDescent="0.2">
      <c r="A7220" s="57">
        <v>36669</v>
      </c>
      <c r="B7220">
        <v>0.91110000000000002</v>
      </c>
    </row>
    <row r="7221" spans="1:2" x14ac:dyDescent="0.2">
      <c r="A7221" s="57">
        <v>36668</v>
      </c>
      <c r="B7221">
        <v>0.9</v>
      </c>
    </row>
    <row r="7222" spans="1:2" x14ac:dyDescent="0.2">
      <c r="A7222" s="57">
        <v>36667</v>
      </c>
    </row>
    <row r="7223" spans="1:2" x14ac:dyDescent="0.2">
      <c r="A7223" s="57">
        <v>36666</v>
      </c>
    </row>
    <row r="7224" spans="1:2" x14ac:dyDescent="0.2">
      <c r="A7224" s="57">
        <v>36665</v>
      </c>
      <c r="B7224">
        <v>0.88749999999999996</v>
      </c>
    </row>
    <row r="7225" spans="1:2" x14ac:dyDescent="0.2">
      <c r="A7225" s="57">
        <v>36664</v>
      </c>
      <c r="B7225">
        <v>0.89419999999999999</v>
      </c>
    </row>
    <row r="7226" spans="1:2" x14ac:dyDescent="0.2">
      <c r="A7226" s="57">
        <v>36663</v>
      </c>
      <c r="B7226">
        <v>0.89219999999999999</v>
      </c>
    </row>
    <row r="7227" spans="1:2" x14ac:dyDescent="0.2">
      <c r="A7227" s="57">
        <v>36662</v>
      </c>
      <c r="B7227">
        <v>0.90649999999999997</v>
      </c>
    </row>
    <row r="7228" spans="1:2" x14ac:dyDescent="0.2">
      <c r="A7228" s="57">
        <v>36661</v>
      </c>
      <c r="B7228">
        <v>0.91469999999999996</v>
      </c>
    </row>
    <row r="7229" spans="1:2" x14ac:dyDescent="0.2">
      <c r="A7229" s="57">
        <v>36660</v>
      </c>
    </row>
    <row r="7230" spans="1:2" x14ac:dyDescent="0.2">
      <c r="A7230" s="57">
        <v>36659</v>
      </c>
    </row>
    <row r="7231" spans="1:2" x14ac:dyDescent="0.2">
      <c r="A7231" s="57">
        <v>36658</v>
      </c>
      <c r="B7231">
        <v>0.90290000000000004</v>
      </c>
    </row>
    <row r="7232" spans="1:2" x14ac:dyDescent="0.2">
      <c r="A7232" s="57">
        <v>36657</v>
      </c>
      <c r="B7232">
        <v>0.90790000000000004</v>
      </c>
    </row>
    <row r="7233" spans="1:2" x14ac:dyDescent="0.2">
      <c r="A7233" s="57">
        <v>36656</v>
      </c>
      <c r="B7233">
        <v>0.91069999999999995</v>
      </c>
    </row>
    <row r="7234" spans="1:2" x14ac:dyDescent="0.2">
      <c r="A7234" s="57">
        <v>36655</v>
      </c>
      <c r="B7234">
        <v>0.89780000000000004</v>
      </c>
    </row>
    <row r="7235" spans="1:2" x14ac:dyDescent="0.2">
      <c r="A7235" s="57">
        <v>36654</v>
      </c>
      <c r="B7235">
        <v>0.8952</v>
      </c>
    </row>
    <row r="7236" spans="1:2" x14ac:dyDescent="0.2">
      <c r="A7236" s="57">
        <v>36653</v>
      </c>
    </row>
    <row r="7237" spans="1:2" x14ac:dyDescent="0.2">
      <c r="A7237" s="57">
        <v>36652</v>
      </c>
    </row>
    <row r="7238" spans="1:2" x14ac:dyDescent="0.2">
      <c r="A7238" s="57">
        <v>36651</v>
      </c>
      <c r="B7238">
        <v>0.89839999999999998</v>
      </c>
    </row>
    <row r="7239" spans="1:2" x14ac:dyDescent="0.2">
      <c r="A7239" s="57">
        <v>36650</v>
      </c>
      <c r="B7239">
        <v>0.89470000000000005</v>
      </c>
    </row>
    <row r="7240" spans="1:2" x14ac:dyDescent="0.2">
      <c r="A7240" s="57">
        <v>36649</v>
      </c>
      <c r="B7240">
        <v>0.89129999999999998</v>
      </c>
    </row>
    <row r="7241" spans="1:2" x14ac:dyDescent="0.2">
      <c r="A7241" s="57">
        <v>36648</v>
      </c>
      <c r="B7241">
        <v>0.91159999999999997</v>
      </c>
    </row>
    <row r="7242" spans="1:2" x14ac:dyDescent="0.2">
      <c r="A7242" s="57">
        <v>36647</v>
      </c>
    </row>
    <row r="7243" spans="1:2" x14ac:dyDescent="0.2">
      <c r="A7243" s="57">
        <v>36646</v>
      </c>
    </row>
    <row r="7244" spans="1:2" x14ac:dyDescent="0.2">
      <c r="A7244" s="57">
        <v>36645</v>
      </c>
    </row>
    <row r="7245" spans="1:2" x14ac:dyDescent="0.2">
      <c r="A7245" s="57">
        <v>36644</v>
      </c>
      <c r="B7245">
        <v>0.90849999999999997</v>
      </c>
    </row>
    <row r="7246" spans="1:2" x14ac:dyDescent="0.2">
      <c r="A7246" s="57">
        <v>36643</v>
      </c>
      <c r="B7246">
        <v>0.9163</v>
      </c>
    </row>
    <row r="7247" spans="1:2" x14ac:dyDescent="0.2">
      <c r="A7247" s="57">
        <v>36642</v>
      </c>
      <c r="B7247">
        <v>0.91930000000000001</v>
      </c>
    </row>
    <row r="7248" spans="1:2" x14ac:dyDescent="0.2">
      <c r="A7248" s="57">
        <v>36641</v>
      </c>
      <c r="B7248">
        <v>0.93020000000000003</v>
      </c>
    </row>
    <row r="7249" spans="1:2" x14ac:dyDescent="0.2">
      <c r="A7249" s="57">
        <v>36640</v>
      </c>
    </row>
    <row r="7250" spans="1:2" x14ac:dyDescent="0.2">
      <c r="A7250" s="57">
        <v>36639</v>
      </c>
    </row>
    <row r="7251" spans="1:2" x14ac:dyDescent="0.2">
      <c r="A7251" s="57">
        <v>36638</v>
      </c>
    </row>
    <row r="7252" spans="1:2" x14ac:dyDescent="0.2">
      <c r="A7252" s="57">
        <v>36637</v>
      </c>
    </row>
    <row r="7253" spans="1:2" x14ac:dyDescent="0.2">
      <c r="A7253" s="57">
        <v>36636</v>
      </c>
      <c r="B7253">
        <v>0.93759999999999999</v>
      </c>
    </row>
    <row r="7254" spans="1:2" x14ac:dyDescent="0.2">
      <c r="A7254" s="57">
        <v>36635</v>
      </c>
      <c r="B7254">
        <v>0.94610000000000005</v>
      </c>
    </row>
    <row r="7255" spans="1:2" x14ac:dyDescent="0.2">
      <c r="A7255" s="57">
        <v>36634</v>
      </c>
      <c r="B7255">
        <v>0.94969999999999999</v>
      </c>
    </row>
    <row r="7256" spans="1:2" x14ac:dyDescent="0.2">
      <c r="A7256" s="57">
        <v>36633</v>
      </c>
      <c r="B7256">
        <v>0.95730000000000004</v>
      </c>
    </row>
    <row r="7257" spans="1:2" x14ac:dyDescent="0.2">
      <c r="A7257" s="57">
        <v>36632</v>
      </c>
    </row>
    <row r="7258" spans="1:2" x14ac:dyDescent="0.2">
      <c r="A7258" s="57">
        <v>36631</v>
      </c>
    </row>
    <row r="7259" spans="1:2" x14ac:dyDescent="0.2">
      <c r="A7259" s="57">
        <v>36630</v>
      </c>
      <c r="B7259">
        <v>0.95399999999999996</v>
      </c>
    </row>
    <row r="7260" spans="1:2" x14ac:dyDescent="0.2">
      <c r="A7260" s="57">
        <v>36629</v>
      </c>
      <c r="B7260">
        <v>0.95369999999999999</v>
      </c>
    </row>
    <row r="7261" spans="1:2" x14ac:dyDescent="0.2">
      <c r="A7261" s="57">
        <v>36628</v>
      </c>
      <c r="B7261">
        <v>0.95760000000000001</v>
      </c>
    </row>
    <row r="7262" spans="1:2" x14ac:dyDescent="0.2">
      <c r="A7262" s="57">
        <v>36627</v>
      </c>
      <c r="B7262">
        <v>0.95940000000000003</v>
      </c>
    </row>
    <row r="7263" spans="1:2" x14ac:dyDescent="0.2">
      <c r="A7263" s="57">
        <v>36626</v>
      </c>
      <c r="B7263">
        <v>0.95899999999999996</v>
      </c>
    </row>
    <row r="7264" spans="1:2" x14ac:dyDescent="0.2">
      <c r="A7264" s="57">
        <v>36625</v>
      </c>
    </row>
    <row r="7265" spans="1:2" x14ac:dyDescent="0.2">
      <c r="A7265" s="57">
        <v>36624</v>
      </c>
    </row>
    <row r="7266" spans="1:2" x14ac:dyDescent="0.2">
      <c r="A7266" s="57">
        <v>36623</v>
      </c>
      <c r="B7266">
        <v>0.95640000000000003</v>
      </c>
    </row>
    <row r="7267" spans="1:2" x14ac:dyDescent="0.2">
      <c r="A7267" s="57">
        <v>36622</v>
      </c>
      <c r="B7267">
        <v>0.96250000000000002</v>
      </c>
    </row>
    <row r="7268" spans="1:2" x14ac:dyDescent="0.2">
      <c r="A7268" s="57">
        <v>36621</v>
      </c>
      <c r="B7268">
        <v>0.96730000000000005</v>
      </c>
    </row>
    <row r="7269" spans="1:2" x14ac:dyDescent="0.2">
      <c r="A7269" s="57">
        <v>36620</v>
      </c>
      <c r="B7269">
        <v>0.95379999999999998</v>
      </c>
    </row>
    <row r="7270" spans="1:2" x14ac:dyDescent="0.2">
      <c r="A7270" s="57">
        <v>36619</v>
      </c>
      <c r="B7270">
        <v>0.95640000000000003</v>
      </c>
    </row>
    <row r="7271" spans="1:2" x14ac:dyDescent="0.2">
      <c r="A7271" s="57">
        <v>36618</v>
      </c>
    </row>
    <row r="7272" spans="1:2" x14ac:dyDescent="0.2">
      <c r="A7272" s="57">
        <v>36617</v>
      </c>
    </row>
    <row r="7273" spans="1:2" x14ac:dyDescent="0.2">
      <c r="A7273" s="57">
        <v>36616</v>
      </c>
      <c r="B7273">
        <v>0.95530000000000004</v>
      </c>
    </row>
    <row r="7274" spans="1:2" x14ac:dyDescent="0.2">
      <c r="A7274" s="57">
        <v>36615</v>
      </c>
      <c r="B7274">
        <v>0.95550000000000002</v>
      </c>
    </row>
    <row r="7275" spans="1:2" x14ac:dyDescent="0.2">
      <c r="A7275" s="57">
        <v>36614</v>
      </c>
      <c r="B7275">
        <v>0.95679999999999998</v>
      </c>
    </row>
    <row r="7276" spans="1:2" x14ac:dyDescent="0.2">
      <c r="A7276" s="57">
        <v>36613</v>
      </c>
      <c r="B7276">
        <v>0.9647</v>
      </c>
    </row>
    <row r="7277" spans="1:2" x14ac:dyDescent="0.2">
      <c r="A7277" s="57">
        <v>36612</v>
      </c>
      <c r="B7277">
        <v>0.97119999999999995</v>
      </c>
    </row>
    <row r="7278" spans="1:2" x14ac:dyDescent="0.2">
      <c r="A7278" s="57">
        <v>36611</v>
      </c>
    </row>
    <row r="7279" spans="1:2" x14ac:dyDescent="0.2">
      <c r="A7279" s="57">
        <v>36610</v>
      </c>
    </row>
    <row r="7280" spans="1:2" x14ac:dyDescent="0.2">
      <c r="A7280" s="57">
        <v>36609</v>
      </c>
      <c r="B7280">
        <v>0.97150000000000003</v>
      </c>
    </row>
    <row r="7281" spans="1:2" x14ac:dyDescent="0.2">
      <c r="A7281" s="57">
        <v>36608</v>
      </c>
      <c r="B7281">
        <v>0.96560000000000001</v>
      </c>
    </row>
    <row r="7282" spans="1:2" x14ac:dyDescent="0.2">
      <c r="A7282" s="57">
        <v>36607</v>
      </c>
      <c r="B7282">
        <v>0.96030000000000004</v>
      </c>
    </row>
    <row r="7283" spans="1:2" x14ac:dyDescent="0.2">
      <c r="A7283" s="57">
        <v>36606</v>
      </c>
      <c r="B7283">
        <v>0.97009999999999996</v>
      </c>
    </row>
    <row r="7284" spans="1:2" x14ac:dyDescent="0.2">
      <c r="A7284" s="57">
        <v>36605</v>
      </c>
      <c r="B7284">
        <v>0.97150000000000003</v>
      </c>
    </row>
    <row r="7285" spans="1:2" x14ac:dyDescent="0.2">
      <c r="A7285" s="57">
        <v>36604</v>
      </c>
    </row>
    <row r="7286" spans="1:2" x14ac:dyDescent="0.2">
      <c r="A7286" s="57">
        <v>36603</v>
      </c>
    </row>
    <row r="7287" spans="1:2" x14ac:dyDescent="0.2">
      <c r="A7287" s="57">
        <v>36602</v>
      </c>
      <c r="B7287">
        <v>0.96719999999999995</v>
      </c>
    </row>
    <row r="7288" spans="1:2" x14ac:dyDescent="0.2">
      <c r="A7288" s="57">
        <v>36601</v>
      </c>
      <c r="B7288">
        <v>0.96630000000000005</v>
      </c>
    </row>
    <row r="7289" spans="1:2" x14ac:dyDescent="0.2">
      <c r="A7289" s="57">
        <v>36600</v>
      </c>
      <c r="B7289">
        <v>0.9647</v>
      </c>
    </row>
    <row r="7290" spans="1:2" x14ac:dyDescent="0.2">
      <c r="A7290" s="57">
        <v>36599</v>
      </c>
      <c r="B7290">
        <v>0.96199999999999997</v>
      </c>
    </row>
    <row r="7291" spans="1:2" x14ac:dyDescent="0.2">
      <c r="A7291" s="57">
        <v>36598</v>
      </c>
      <c r="B7291">
        <v>0.97160000000000002</v>
      </c>
    </row>
    <row r="7292" spans="1:2" x14ac:dyDescent="0.2">
      <c r="A7292" s="57">
        <v>36597</v>
      </c>
    </row>
    <row r="7293" spans="1:2" x14ac:dyDescent="0.2">
      <c r="A7293" s="57">
        <v>36596</v>
      </c>
    </row>
    <row r="7294" spans="1:2" x14ac:dyDescent="0.2">
      <c r="A7294" s="57">
        <v>36595</v>
      </c>
      <c r="B7294">
        <v>0.96130000000000004</v>
      </c>
    </row>
    <row r="7295" spans="1:2" x14ac:dyDescent="0.2">
      <c r="A7295" s="57">
        <v>36594</v>
      </c>
      <c r="B7295">
        <v>0.96160000000000001</v>
      </c>
    </row>
    <row r="7296" spans="1:2" x14ac:dyDescent="0.2">
      <c r="A7296" s="57">
        <v>36593</v>
      </c>
      <c r="B7296">
        <v>0.95430000000000004</v>
      </c>
    </row>
    <row r="7297" spans="1:2" x14ac:dyDescent="0.2">
      <c r="A7297" s="57">
        <v>36592</v>
      </c>
      <c r="B7297">
        <v>0.95930000000000004</v>
      </c>
    </row>
    <row r="7298" spans="1:2" x14ac:dyDescent="0.2">
      <c r="A7298" s="57">
        <v>36591</v>
      </c>
      <c r="B7298">
        <v>0.96399999999999997</v>
      </c>
    </row>
    <row r="7299" spans="1:2" x14ac:dyDescent="0.2">
      <c r="A7299" s="57">
        <v>36590</v>
      </c>
    </row>
    <row r="7300" spans="1:2" x14ac:dyDescent="0.2">
      <c r="A7300" s="57">
        <v>36589</v>
      </c>
    </row>
    <row r="7301" spans="1:2" x14ac:dyDescent="0.2">
      <c r="A7301" s="57">
        <v>36588</v>
      </c>
      <c r="B7301">
        <v>0.96589999999999998</v>
      </c>
    </row>
    <row r="7302" spans="1:2" x14ac:dyDescent="0.2">
      <c r="A7302" s="57">
        <v>36587</v>
      </c>
      <c r="B7302">
        <v>0.97250000000000003</v>
      </c>
    </row>
    <row r="7303" spans="1:2" x14ac:dyDescent="0.2">
      <c r="A7303" s="57">
        <v>36586</v>
      </c>
      <c r="B7303">
        <v>0.9667</v>
      </c>
    </row>
    <row r="7304" spans="1:2" x14ac:dyDescent="0.2">
      <c r="A7304" s="57">
        <v>36585</v>
      </c>
      <c r="B7304">
        <v>0.97140000000000004</v>
      </c>
    </row>
    <row r="7305" spans="1:2" x14ac:dyDescent="0.2">
      <c r="A7305" s="57">
        <v>36584</v>
      </c>
      <c r="B7305">
        <v>0.96389999999999998</v>
      </c>
    </row>
    <row r="7306" spans="1:2" x14ac:dyDescent="0.2">
      <c r="A7306" s="57">
        <v>36583</v>
      </c>
    </row>
    <row r="7307" spans="1:2" x14ac:dyDescent="0.2">
      <c r="A7307" s="57">
        <v>36582</v>
      </c>
    </row>
    <row r="7308" spans="1:2" x14ac:dyDescent="0.2">
      <c r="A7308" s="57">
        <v>36581</v>
      </c>
      <c r="B7308">
        <v>0.98129999999999995</v>
      </c>
    </row>
    <row r="7309" spans="1:2" x14ac:dyDescent="0.2">
      <c r="A7309" s="57">
        <v>36580</v>
      </c>
      <c r="B7309">
        <v>0.98980000000000001</v>
      </c>
    </row>
    <row r="7310" spans="1:2" x14ac:dyDescent="0.2">
      <c r="A7310" s="57">
        <v>36579</v>
      </c>
      <c r="B7310">
        <v>1.0067999999999999</v>
      </c>
    </row>
    <row r="7311" spans="1:2" x14ac:dyDescent="0.2">
      <c r="A7311" s="57">
        <v>36578</v>
      </c>
      <c r="B7311">
        <v>1.0022</v>
      </c>
    </row>
    <row r="7312" spans="1:2" x14ac:dyDescent="0.2">
      <c r="A7312" s="57">
        <v>36577</v>
      </c>
      <c r="B7312">
        <v>0.98570000000000002</v>
      </c>
    </row>
    <row r="7313" spans="1:2" x14ac:dyDescent="0.2">
      <c r="A7313" s="57">
        <v>36576</v>
      </c>
    </row>
    <row r="7314" spans="1:2" x14ac:dyDescent="0.2">
      <c r="A7314" s="57">
        <v>36575</v>
      </c>
    </row>
    <row r="7315" spans="1:2" x14ac:dyDescent="0.2">
      <c r="A7315" s="57">
        <v>36574</v>
      </c>
      <c r="B7315">
        <v>0.98570000000000002</v>
      </c>
    </row>
    <row r="7316" spans="1:2" x14ac:dyDescent="0.2">
      <c r="A7316" s="57">
        <v>36573</v>
      </c>
      <c r="B7316">
        <v>0.9919</v>
      </c>
    </row>
    <row r="7317" spans="1:2" x14ac:dyDescent="0.2">
      <c r="A7317" s="57">
        <v>36572</v>
      </c>
      <c r="B7317">
        <v>0.98040000000000005</v>
      </c>
    </row>
    <row r="7318" spans="1:2" x14ac:dyDescent="0.2">
      <c r="A7318" s="57">
        <v>36571</v>
      </c>
      <c r="B7318">
        <v>0.9778</v>
      </c>
    </row>
    <row r="7319" spans="1:2" x14ac:dyDescent="0.2">
      <c r="A7319" s="57">
        <v>36570</v>
      </c>
      <c r="B7319">
        <v>0.98670000000000002</v>
      </c>
    </row>
    <row r="7320" spans="1:2" x14ac:dyDescent="0.2">
      <c r="A7320" s="57">
        <v>36569</v>
      </c>
    </row>
    <row r="7321" spans="1:2" x14ac:dyDescent="0.2">
      <c r="A7321" s="57">
        <v>36568</v>
      </c>
    </row>
    <row r="7322" spans="1:2" x14ac:dyDescent="0.2">
      <c r="A7322" s="57">
        <v>36567</v>
      </c>
      <c r="B7322">
        <v>0.98009999999999997</v>
      </c>
    </row>
    <row r="7323" spans="1:2" x14ac:dyDescent="0.2">
      <c r="A7323" s="57">
        <v>36566</v>
      </c>
      <c r="B7323">
        <v>0.98680000000000001</v>
      </c>
    </row>
    <row r="7324" spans="1:2" x14ac:dyDescent="0.2">
      <c r="A7324" s="57">
        <v>36565</v>
      </c>
      <c r="B7324">
        <v>0.99339999999999995</v>
      </c>
    </row>
    <row r="7325" spans="1:2" x14ac:dyDescent="0.2">
      <c r="A7325" s="57">
        <v>36564</v>
      </c>
      <c r="B7325">
        <v>0.99029999999999996</v>
      </c>
    </row>
    <row r="7326" spans="1:2" x14ac:dyDescent="0.2">
      <c r="A7326" s="57">
        <v>36563</v>
      </c>
      <c r="B7326">
        <v>0.97670000000000001</v>
      </c>
    </row>
    <row r="7327" spans="1:2" x14ac:dyDescent="0.2">
      <c r="A7327" s="57">
        <v>36562</v>
      </c>
    </row>
    <row r="7328" spans="1:2" x14ac:dyDescent="0.2">
      <c r="A7328" s="57">
        <v>36561</v>
      </c>
    </row>
    <row r="7329" spans="1:2" x14ac:dyDescent="0.2">
      <c r="A7329" s="57">
        <v>36560</v>
      </c>
      <c r="B7329">
        <v>0.98350000000000004</v>
      </c>
    </row>
    <row r="7330" spans="1:2" x14ac:dyDescent="0.2">
      <c r="A7330" s="57">
        <v>36559</v>
      </c>
      <c r="B7330">
        <v>0.9748</v>
      </c>
    </row>
    <row r="7331" spans="1:2" x14ac:dyDescent="0.2">
      <c r="A7331" s="57">
        <v>36558</v>
      </c>
      <c r="B7331">
        <v>0.97170000000000001</v>
      </c>
    </row>
    <row r="7332" spans="1:2" x14ac:dyDescent="0.2">
      <c r="A7332" s="57">
        <v>36557</v>
      </c>
      <c r="B7332">
        <v>0.97099999999999997</v>
      </c>
    </row>
    <row r="7333" spans="1:2" x14ac:dyDescent="0.2">
      <c r="A7333" s="57">
        <v>36556</v>
      </c>
      <c r="B7333">
        <v>0.97909999999999997</v>
      </c>
    </row>
    <row r="7334" spans="1:2" x14ac:dyDescent="0.2">
      <c r="A7334" s="57">
        <v>36555</v>
      </c>
    </row>
    <row r="7335" spans="1:2" x14ac:dyDescent="0.2">
      <c r="A7335" s="57">
        <v>36554</v>
      </c>
    </row>
    <row r="7336" spans="1:2" x14ac:dyDescent="0.2">
      <c r="A7336" s="57">
        <v>36553</v>
      </c>
      <c r="B7336">
        <v>0.98480000000000001</v>
      </c>
    </row>
    <row r="7337" spans="1:2" x14ac:dyDescent="0.2">
      <c r="A7337" s="57">
        <v>36552</v>
      </c>
      <c r="B7337">
        <v>0.99760000000000004</v>
      </c>
    </row>
    <row r="7338" spans="1:2" x14ac:dyDescent="0.2">
      <c r="A7338" s="57">
        <v>36551</v>
      </c>
      <c r="B7338">
        <v>1.0019</v>
      </c>
    </row>
    <row r="7339" spans="1:2" x14ac:dyDescent="0.2">
      <c r="A7339" s="57">
        <v>36550</v>
      </c>
      <c r="B7339">
        <v>1.0007999999999999</v>
      </c>
    </row>
    <row r="7340" spans="1:2" x14ac:dyDescent="0.2">
      <c r="A7340" s="57">
        <v>36549</v>
      </c>
      <c r="B7340">
        <v>1.0026999999999999</v>
      </c>
    </row>
    <row r="7341" spans="1:2" x14ac:dyDescent="0.2">
      <c r="A7341" s="57">
        <v>36548</v>
      </c>
    </row>
    <row r="7342" spans="1:2" x14ac:dyDescent="0.2">
      <c r="A7342" s="57">
        <v>36547</v>
      </c>
    </row>
    <row r="7343" spans="1:2" x14ac:dyDescent="0.2">
      <c r="A7343" s="57">
        <v>36546</v>
      </c>
      <c r="B7343">
        <v>1.0097</v>
      </c>
    </row>
    <row r="7344" spans="1:2" x14ac:dyDescent="0.2">
      <c r="A7344" s="57">
        <v>36545</v>
      </c>
      <c r="B7344">
        <v>1.0088999999999999</v>
      </c>
    </row>
    <row r="7345" spans="1:2" x14ac:dyDescent="0.2">
      <c r="A7345" s="57">
        <v>36544</v>
      </c>
      <c r="B7345">
        <v>1.0105</v>
      </c>
    </row>
    <row r="7346" spans="1:2" x14ac:dyDescent="0.2">
      <c r="A7346" s="57">
        <v>36543</v>
      </c>
      <c r="B7346">
        <v>1.0093000000000001</v>
      </c>
    </row>
    <row r="7347" spans="1:2" x14ac:dyDescent="0.2">
      <c r="A7347" s="57">
        <v>36542</v>
      </c>
      <c r="B7347">
        <v>1.0094000000000001</v>
      </c>
    </row>
    <row r="7348" spans="1:2" x14ac:dyDescent="0.2">
      <c r="A7348" s="57">
        <v>36541</v>
      </c>
    </row>
    <row r="7349" spans="1:2" x14ac:dyDescent="0.2">
      <c r="A7349" s="57">
        <v>36540</v>
      </c>
    </row>
    <row r="7350" spans="1:2" x14ac:dyDescent="0.2">
      <c r="A7350" s="57">
        <v>36539</v>
      </c>
      <c r="B7350">
        <v>1.0225</v>
      </c>
    </row>
    <row r="7351" spans="1:2" x14ac:dyDescent="0.2">
      <c r="A7351" s="57">
        <v>36538</v>
      </c>
      <c r="B7351">
        <v>1.0276000000000001</v>
      </c>
    </row>
    <row r="7352" spans="1:2" x14ac:dyDescent="0.2">
      <c r="A7352" s="57">
        <v>36537</v>
      </c>
      <c r="B7352">
        <v>1.0307999999999999</v>
      </c>
    </row>
    <row r="7353" spans="1:2" x14ac:dyDescent="0.2">
      <c r="A7353" s="57">
        <v>36536</v>
      </c>
      <c r="B7353">
        <v>1.0256000000000001</v>
      </c>
    </row>
    <row r="7354" spans="1:2" x14ac:dyDescent="0.2">
      <c r="A7354" s="57">
        <v>36535</v>
      </c>
      <c r="B7354">
        <v>1.0228999999999999</v>
      </c>
    </row>
    <row r="7355" spans="1:2" x14ac:dyDescent="0.2">
      <c r="A7355" s="57">
        <v>36534</v>
      </c>
    </row>
    <row r="7356" spans="1:2" x14ac:dyDescent="0.2">
      <c r="A7356" s="57">
        <v>36533</v>
      </c>
    </row>
    <row r="7357" spans="1:2" x14ac:dyDescent="0.2">
      <c r="A7357" s="57">
        <v>36532</v>
      </c>
      <c r="B7357">
        <v>1.0284</v>
      </c>
    </row>
    <row r="7358" spans="1:2" x14ac:dyDescent="0.2">
      <c r="A7358" s="57">
        <v>36531</v>
      </c>
      <c r="B7358">
        <v>1.0387999999999999</v>
      </c>
    </row>
    <row r="7359" spans="1:2" x14ac:dyDescent="0.2">
      <c r="A7359" s="57">
        <v>36530</v>
      </c>
      <c r="B7359">
        <v>1.0367999999999999</v>
      </c>
    </row>
    <row r="7360" spans="1:2" x14ac:dyDescent="0.2">
      <c r="A7360" s="57">
        <v>36529</v>
      </c>
      <c r="B7360">
        <v>1.0305</v>
      </c>
    </row>
    <row r="7361" spans="1:2" x14ac:dyDescent="0.2">
      <c r="A7361" s="57">
        <v>36528</v>
      </c>
      <c r="B7361">
        <v>1.0089999999999999</v>
      </c>
    </row>
    <row r="7362" spans="1:2" x14ac:dyDescent="0.2">
      <c r="A7362" s="57">
        <v>36527</v>
      </c>
    </row>
    <row r="7363" spans="1:2" x14ac:dyDescent="0.2">
      <c r="A7363" s="57">
        <v>36526</v>
      </c>
    </row>
    <row r="7364" spans="1:2" x14ac:dyDescent="0.2">
      <c r="A7364" s="57">
        <v>36525</v>
      </c>
    </row>
    <row r="7365" spans="1:2" x14ac:dyDescent="0.2">
      <c r="A7365" s="57">
        <v>36524</v>
      </c>
      <c r="B7365">
        <v>1.0045999999999999</v>
      </c>
    </row>
    <row r="7366" spans="1:2" x14ac:dyDescent="0.2">
      <c r="A7366" s="57">
        <v>36523</v>
      </c>
      <c r="B7366">
        <v>1.0072000000000001</v>
      </c>
    </row>
    <row r="7367" spans="1:2" x14ac:dyDescent="0.2">
      <c r="A7367" s="57">
        <v>36522</v>
      </c>
      <c r="B7367">
        <v>1.0088999999999999</v>
      </c>
    </row>
    <row r="7368" spans="1:2" x14ac:dyDescent="0.2">
      <c r="A7368" s="57">
        <v>36521</v>
      </c>
      <c r="B7368">
        <v>1.0134000000000001</v>
      </c>
    </row>
    <row r="7369" spans="1:2" x14ac:dyDescent="0.2">
      <c r="A7369" s="57">
        <v>36520</v>
      </c>
    </row>
    <row r="7370" spans="1:2" x14ac:dyDescent="0.2">
      <c r="A7370" s="57">
        <v>36519</v>
      </c>
    </row>
    <row r="7371" spans="1:2" x14ac:dyDescent="0.2">
      <c r="A7371" s="57">
        <v>36518</v>
      </c>
      <c r="B7371">
        <v>1.0142</v>
      </c>
    </row>
    <row r="7372" spans="1:2" x14ac:dyDescent="0.2">
      <c r="A7372" s="57">
        <v>36517</v>
      </c>
      <c r="B7372">
        <v>1.0088999999999999</v>
      </c>
    </row>
    <row r="7373" spans="1:2" x14ac:dyDescent="0.2">
      <c r="A7373" s="57">
        <v>36516</v>
      </c>
      <c r="B7373">
        <v>1.0074000000000001</v>
      </c>
    </row>
    <row r="7374" spans="1:2" x14ac:dyDescent="0.2">
      <c r="A7374" s="57">
        <v>36515</v>
      </c>
      <c r="B7374">
        <v>1.0084</v>
      </c>
    </row>
    <row r="7375" spans="1:2" x14ac:dyDescent="0.2">
      <c r="A7375" s="57">
        <v>36514</v>
      </c>
      <c r="B7375">
        <v>1.0096000000000001</v>
      </c>
    </row>
    <row r="7376" spans="1:2" x14ac:dyDescent="0.2">
      <c r="A7376" s="57">
        <v>36513</v>
      </c>
    </row>
    <row r="7377" spans="1:2" x14ac:dyDescent="0.2">
      <c r="A7377" s="57">
        <v>36512</v>
      </c>
    </row>
    <row r="7378" spans="1:2" x14ac:dyDescent="0.2">
      <c r="A7378" s="57">
        <v>36511</v>
      </c>
      <c r="B7378">
        <v>1.0127999999999999</v>
      </c>
    </row>
    <row r="7379" spans="1:2" x14ac:dyDescent="0.2">
      <c r="A7379" s="57">
        <v>36510</v>
      </c>
      <c r="B7379">
        <v>1.0145999999999999</v>
      </c>
    </row>
    <row r="7380" spans="1:2" x14ac:dyDescent="0.2">
      <c r="A7380" s="57">
        <v>36509</v>
      </c>
      <c r="B7380">
        <v>1.0021</v>
      </c>
    </row>
    <row r="7381" spans="1:2" x14ac:dyDescent="0.2">
      <c r="A7381" s="57">
        <v>36508</v>
      </c>
      <c r="B7381">
        <v>1.0038</v>
      </c>
    </row>
    <row r="7382" spans="1:2" x14ac:dyDescent="0.2">
      <c r="A7382" s="57">
        <v>36507</v>
      </c>
      <c r="B7382">
        <v>1.0127999999999999</v>
      </c>
    </row>
    <row r="7383" spans="1:2" x14ac:dyDescent="0.2">
      <c r="A7383" s="57">
        <v>36506</v>
      </c>
    </row>
    <row r="7384" spans="1:2" x14ac:dyDescent="0.2">
      <c r="A7384" s="57">
        <v>36505</v>
      </c>
    </row>
    <row r="7385" spans="1:2" x14ac:dyDescent="0.2">
      <c r="A7385" s="57">
        <v>36504</v>
      </c>
      <c r="B7385">
        <v>1.0141</v>
      </c>
    </row>
    <row r="7386" spans="1:2" x14ac:dyDescent="0.2">
      <c r="A7386" s="57">
        <v>36503</v>
      </c>
      <c r="B7386">
        <v>1.0175000000000001</v>
      </c>
    </row>
    <row r="7387" spans="1:2" x14ac:dyDescent="0.2">
      <c r="A7387" s="57">
        <v>36502</v>
      </c>
      <c r="B7387">
        <v>1.0236000000000001</v>
      </c>
    </row>
    <row r="7388" spans="1:2" x14ac:dyDescent="0.2">
      <c r="A7388" s="57">
        <v>36501</v>
      </c>
      <c r="B7388">
        <v>1.0239</v>
      </c>
    </row>
    <row r="7389" spans="1:2" x14ac:dyDescent="0.2">
      <c r="A7389" s="57">
        <v>36500</v>
      </c>
      <c r="B7389">
        <v>1.0182</v>
      </c>
    </row>
    <row r="7390" spans="1:2" x14ac:dyDescent="0.2">
      <c r="A7390" s="57">
        <v>36499</v>
      </c>
    </row>
    <row r="7391" spans="1:2" x14ac:dyDescent="0.2">
      <c r="A7391" s="57">
        <v>36498</v>
      </c>
    </row>
    <row r="7392" spans="1:2" x14ac:dyDescent="0.2">
      <c r="A7392" s="57">
        <v>36497</v>
      </c>
      <c r="B7392">
        <v>1.0015000000000001</v>
      </c>
    </row>
    <row r="7393" spans="1:2" x14ac:dyDescent="0.2">
      <c r="A7393" s="57">
        <v>36496</v>
      </c>
      <c r="B7393">
        <v>1.0057</v>
      </c>
    </row>
    <row r="7394" spans="1:2" x14ac:dyDescent="0.2">
      <c r="A7394" s="57">
        <v>36495</v>
      </c>
      <c r="B7394">
        <v>1.0091000000000001</v>
      </c>
    </row>
    <row r="7395" spans="1:2" x14ac:dyDescent="0.2">
      <c r="A7395" s="57">
        <v>36494</v>
      </c>
      <c r="B7395">
        <v>1.0097</v>
      </c>
    </row>
    <row r="7396" spans="1:2" x14ac:dyDescent="0.2">
      <c r="A7396" s="57">
        <v>36493</v>
      </c>
      <c r="B7396">
        <v>1.0077</v>
      </c>
    </row>
    <row r="7397" spans="1:2" x14ac:dyDescent="0.2">
      <c r="A7397" s="57">
        <v>36492</v>
      </c>
    </row>
    <row r="7398" spans="1:2" x14ac:dyDescent="0.2">
      <c r="A7398" s="57">
        <v>36491</v>
      </c>
    </row>
    <row r="7399" spans="1:2" x14ac:dyDescent="0.2">
      <c r="A7399" s="57">
        <v>36490</v>
      </c>
      <c r="B7399">
        <v>1.0101</v>
      </c>
    </row>
    <row r="7400" spans="1:2" x14ac:dyDescent="0.2">
      <c r="A7400" s="57">
        <v>36489</v>
      </c>
      <c r="B7400">
        <v>1.0194000000000001</v>
      </c>
    </row>
    <row r="7401" spans="1:2" x14ac:dyDescent="0.2">
      <c r="A7401" s="57">
        <v>36488</v>
      </c>
      <c r="B7401">
        <v>1.0215000000000001</v>
      </c>
    </row>
    <row r="7402" spans="1:2" x14ac:dyDescent="0.2">
      <c r="A7402" s="57">
        <v>36487</v>
      </c>
      <c r="B7402">
        <v>1.0315000000000001</v>
      </c>
    </row>
    <row r="7403" spans="1:2" x14ac:dyDescent="0.2">
      <c r="A7403" s="57">
        <v>36486</v>
      </c>
      <c r="B7403">
        <v>1.0310999999999999</v>
      </c>
    </row>
    <row r="7404" spans="1:2" x14ac:dyDescent="0.2">
      <c r="A7404" s="57">
        <v>36485</v>
      </c>
    </row>
    <row r="7405" spans="1:2" x14ac:dyDescent="0.2">
      <c r="A7405" s="57">
        <v>36484</v>
      </c>
    </row>
    <row r="7406" spans="1:2" x14ac:dyDescent="0.2">
      <c r="A7406" s="57">
        <v>36483</v>
      </c>
      <c r="B7406">
        <v>1.0279</v>
      </c>
    </row>
    <row r="7407" spans="1:2" x14ac:dyDescent="0.2">
      <c r="A7407" s="57">
        <v>36482</v>
      </c>
      <c r="B7407">
        <v>1.038</v>
      </c>
    </row>
    <row r="7408" spans="1:2" x14ac:dyDescent="0.2">
      <c r="A7408" s="57">
        <v>36481</v>
      </c>
      <c r="B7408">
        <v>1.0407999999999999</v>
      </c>
    </row>
    <row r="7409" spans="1:2" x14ac:dyDescent="0.2">
      <c r="A7409" s="57">
        <v>36480</v>
      </c>
      <c r="B7409">
        <v>1.0336000000000001</v>
      </c>
    </row>
    <row r="7410" spans="1:2" x14ac:dyDescent="0.2">
      <c r="A7410" s="57">
        <v>36479</v>
      </c>
      <c r="B7410">
        <v>1.0301</v>
      </c>
    </row>
    <row r="7411" spans="1:2" x14ac:dyDescent="0.2">
      <c r="A7411" s="57">
        <v>36478</v>
      </c>
    </row>
    <row r="7412" spans="1:2" x14ac:dyDescent="0.2">
      <c r="A7412" s="57">
        <v>36477</v>
      </c>
    </row>
    <row r="7413" spans="1:2" x14ac:dyDescent="0.2">
      <c r="A7413" s="57">
        <v>36476</v>
      </c>
      <c r="B7413">
        <v>1.0307999999999999</v>
      </c>
    </row>
    <row r="7414" spans="1:2" x14ac:dyDescent="0.2">
      <c r="A7414" s="57">
        <v>36475</v>
      </c>
      <c r="B7414">
        <v>1.0406</v>
      </c>
    </row>
    <row r="7415" spans="1:2" x14ac:dyDescent="0.2">
      <c r="A7415" s="57">
        <v>36474</v>
      </c>
      <c r="B7415">
        <v>1.0402</v>
      </c>
    </row>
    <row r="7416" spans="1:2" x14ac:dyDescent="0.2">
      <c r="A7416" s="57">
        <v>36473</v>
      </c>
      <c r="B7416">
        <v>1.0424</v>
      </c>
    </row>
    <row r="7417" spans="1:2" x14ac:dyDescent="0.2">
      <c r="A7417" s="57">
        <v>36472</v>
      </c>
      <c r="B7417">
        <v>1.0405</v>
      </c>
    </row>
    <row r="7418" spans="1:2" x14ac:dyDescent="0.2">
      <c r="A7418" s="57">
        <v>36471</v>
      </c>
    </row>
    <row r="7419" spans="1:2" x14ac:dyDescent="0.2">
      <c r="A7419" s="57">
        <v>36470</v>
      </c>
    </row>
    <row r="7420" spans="1:2" x14ac:dyDescent="0.2">
      <c r="A7420" s="57">
        <v>36469</v>
      </c>
      <c r="B7420">
        <v>1.0407999999999999</v>
      </c>
    </row>
    <row r="7421" spans="1:2" x14ac:dyDescent="0.2">
      <c r="A7421" s="57">
        <v>36468</v>
      </c>
      <c r="B7421">
        <v>1.0504</v>
      </c>
    </row>
    <row r="7422" spans="1:2" x14ac:dyDescent="0.2">
      <c r="A7422" s="57">
        <v>36467</v>
      </c>
      <c r="B7422">
        <v>1.0490999999999999</v>
      </c>
    </row>
    <row r="7423" spans="1:2" x14ac:dyDescent="0.2">
      <c r="A7423" s="57">
        <v>36466</v>
      </c>
      <c r="B7423">
        <v>1.0507</v>
      </c>
    </row>
    <row r="7424" spans="1:2" x14ac:dyDescent="0.2">
      <c r="A7424" s="57">
        <v>36465</v>
      </c>
      <c r="B7424">
        <v>1.0571999999999999</v>
      </c>
    </row>
    <row r="7425" spans="1:2" x14ac:dyDescent="0.2">
      <c r="A7425" s="57">
        <v>36464</v>
      </c>
    </row>
    <row r="7426" spans="1:2" x14ac:dyDescent="0.2">
      <c r="A7426" s="57">
        <v>36463</v>
      </c>
    </row>
    <row r="7427" spans="1:2" x14ac:dyDescent="0.2">
      <c r="A7427" s="57">
        <v>36462</v>
      </c>
      <c r="B7427">
        <v>1.0452999999999999</v>
      </c>
    </row>
    <row r="7428" spans="1:2" x14ac:dyDescent="0.2">
      <c r="A7428" s="57">
        <v>36461</v>
      </c>
      <c r="B7428">
        <v>1.0533999999999999</v>
      </c>
    </row>
    <row r="7429" spans="1:2" x14ac:dyDescent="0.2">
      <c r="A7429" s="57">
        <v>36460</v>
      </c>
      <c r="B7429">
        <v>1.0551999999999999</v>
      </c>
    </row>
    <row r="7430" spans="1:2" x14ac:dyDescent="0.2">
      <c r="A7430" s="57">
        <v>36459</v>
      </c>
      <c r="B7430">
        <v>1.0632999999999999</v>
      </c>
    </row>
    <row r="7431" spans="1:2" x14ac:dyDescent="0.2">
      <c r="A7431" s="57">
        <v>36458</v>
      </c>
      <c r="B7431">
        <v>1.0683</v>
      </c>
    </row>
    <row r="7432" spans="1:2" x14ac:dyDescent="0.2">
      <c r="A7432" s="57">
        <v>36457</v>
      </c>
    </row>
    <row r="7433" spans="1:2" x14ac:dyDescent="0.2">
      <c r="A7433" s="57">
        <v>36456</v>
      </c>
    </row>
    <row r="7434" spans="1:2" x14ac:dyDescent="0.2">
      <c r="A7434" s="57">
        <v>36455</v>
      </c>
      <c r="B7434">
        <v>1.0758000000000001</v>
      </c>
    </row>
    <row r="7435" spans="1:2" x14ac:dyDescent="0.2">
      <c r="A7435" s="57">
        <v>36454</v>
      </c>
      <c r="B7435">
        <v>1.0797000000000001</v>
      </c>
    </row>
    <row r="7436" spans="1:2" x14ac:dyDescent="0.2">
      <c r="A7436" s="57">
        <v>36453</v>
      </c>
      <c r="B7436">
        <v>1.0777000000000001</v>
      </c>
    </row>
    <row r="7437" spans="1:2" x14ac:dyDescent="0.2">
      <c r="A7437" s="57">
        <v>36452</v>
      </c>
      <c r="B7437">
        <v>1.0818000000000001</v>
      </c>
    </row>
    <row r="7438" spans="1:2" x14ac:dyDescent="0.2">
      <c r="A7438" s="57">
        <v>36451</v>
      </c>
      <c r="B7438">
        <v>1.0868</v>
      </c>
    </row>
    <row r="7439" spans="1:2" x14ac:dyDescent="0.2">
      <c r="A7439" s="57">
        <v>36450</v>
      </c>
    </row>
    <row r="7440" spans="1:2" x14ac:dyDescent="0.2">
      <c r="A7440" s="57">
        <v>36449</v>
      </c>
    </row>
    <row r="7441" spans="1:2" x14ac:dyDescent="0.2">
      <c r="A7441" s="57">
        <v>36448</v>
      </c>
      <c r="B7441">
        <v>1.0869</v>
      </c>
    </row>
    <row r="7442" spans="1:2" x14ac:dyDescent="0.2">
      <c r="A7442" s="57">
        <v>36447</v>
      </c>
      <c r="B7442">
        <v>1.0758000000000001</v>
      </c>
    </row>
    <row r="7443" spans="1:2" x14ac:dyDescent="0.2">
      <c r="A7443" s="57">
        <v>36446</v>
      </c>
      <c r="B7443">
        <v>1.0778000000000001</v>
      </c>
    </row>
    <row r="7444" spans="1:2" x14ac:dyDescent="0.2">
      <c r="A7444" s="57">
        <v>36445</v>
      </c>
      <c r="B7444">
        <v>1.0668</v>
      </c>
    </row>
    <row r="7445" spans="1:2" x14ac:dyDescent="0.2">
      <c r="A7445" s="57">
        <v>36444</v>
      </c>
      <c r="B7445">
        <v>1.0630999999999999</v>
      </c>
    </row>
    <row r="7446" spans="1:2" x14ac:dyDescent="0.2">
      <c r="A7446" s="57">
        <v>36443</v>
      </c>
    </row>
    <row r="7447" spans="1:2" x14ac:dyDescent="0.2">
      <c r="A7447" s="57">
        <v>36442</v>
      </c>
    </row>
    <row r="7448" spans="1:2" x14ac:dyDescent="0.2">
      <c r="A7448" s="57">
        <v>36441</v>
      </c>
      <c r="B7448">
        <v>1.0657000000000001</v>
      </c>
    </row>
    <row r="7449" spans="1:2" x14ac:dyDescent="0.2">
      <c r="A7449" s="57">
        <v>36440</v>
      </c>
      <c r="B7449">
        <v>1.0729</v>
      </c>
    </row>
    <row r="7450" spans="1:2" x14ac:dyDescent="0.2">
      <c r="A7450" s="57">
        <v>36439</v>
      </c>
      <c r="B7450">
        <v>1.0737000000000001</v>
      </c>
    </row>
    <row r="7451" spans="1:2" x14ac:dyDescent="0.2">
      <c r="A7451" s="57">
        <v>36438</v>
      </c>
      <c r="B7451">
        <v>1.0686</v>
      </c>
    </row>
    <row r="7452" spans="1:2" x14ac:dyDescent="0.2">
      <c r="A7452" s="57">
        <v>36437</v>
      </c>
      <c r="B7452">
        <v>1.0719000000000001</v>
      </c>
    </row>
    <row r="7453" spans="1:2" x14ac:dyDescent="0.2">
      <c r="A7453" s="57">
        <v>36436</v>
      </c>
    </row>
    <row r="7454" spans="1:2" x14ac:dyDescent="0.2">
      <c r="A7454" s="57">
        <v>36435</v>
      </c>
    </row>
    <row r="7455" spans="1:2" x14ac:dyDescent="0.2">
      <c r="A7455" s="57">
        <v>36434</v>
      </c>
      <c r="B7455">
        <v>1.0728</v>
      </c>
    </row>
    <row r="7456" spans="1:2" x14ac:dyDescent="0.2">
      <c r="A7456" s="57">
        <v>36433</v>
      </c>
      <c r="B7456">
        <v>1.0665</v>
      </c>
    </row>
    <row r="7457" spans="1:2" x14ac:dyDescent="0.2">
      <c r="A7457" s="57">
        <v>36432</v>
      </c>
      <c r="B7457">
        <v>1.0563</v>
      </c>
    </row>
    <row r="7458" spans="1:2" x14ac:dyDescent="0.2">
      <c r="A7458" s="57">
        <v>36431</v>
      </c>
      <c r="B7458">
        <v>1.0483</v>
      </c>
    </row>
    <row r="7459" spans="1:2" x14ac:dyDescent="0.2">
      <c r="A7459" s="57">
        <v>36430</v>
      </c>
      <c r="B7459">
        <v>1.0414000000000001</v>
      </c>
    </row>
    <row r="7460" spans="1:2" x14ac:dyDescent="0.2">
      <c r="A7460" s="57">
        <v>36429</v>
      </c>
    </row>
    <row r="7461" spans="1:2" x14ac:dyDescent="0.2">
      <c r="A7461" s="57">
        <v>36428</v>
      </c>
    </row>
    <row r="7462" spans="1:2" x14ac:dyDescent="0.2">
      <c r="A7462" s="57">
        <v>36427</v>
      </c>
      <c r="B7462">
        <v>1.0476000000000001</v>
      </c>
    </row>
    <row r="7463" spans="1:2" x14ac:dyDescent="0.2">
      <c r="A7463" s="57">
        <v>36426</v>
      </c>
      <c r="B7463">
        <v>1.0429999999999999</v>
      </c>
    </row>
    <row r="7464" spans="1:2" x14ac:dyDescent="0.2">
      <c r="A7464" s="57">
        <v>36425</v>
      </c>
      <c r="B7464">
        <v>1.0508999999999999</v>
      </c>
    </row>
    <row r="7465" spans="1:2" x14ac:dyDescent="0.2">
      <c r="A7465" s="57">
        <v>36424</v>
      </c>
      <c r="B7465">
        <v>1.0387999999999999</v>
      </c>
    </row>
    <row r="7466" spans="1:2" x14ac:dyDescent="0.2">
      <c r="A7466" s="57">
        <v>36423</v>
      </c>
      <c r="B7466">
        <v>1.0406</v>
      </c>
    </row>
    <row r="7467" spans="1:2" x14ac:dyDescent="0.2">
      <c r="A7467" s="57">
        <v>36422</v>
      </c>
    </row>
    <row r="7468" spans="1:2" x14ac:dyDescent="0.2">
      <c r="A7468" s="57">
        <v>36421</v>
      </c>
    </row>
    <row r="7469" spans="1:2" x14ac:dyDescent="0.2">
      <c r="A7469" s="57">
        <v>36420</v>
      </c>
      <c r="B7469">
        <v>1.0397000000000001</v>
      </c>
    </row>
    <row r="7470" spans="1:2" x14ac:dyDescent="0.2">
      <c r="A7470" s="57">
        <v>36419</v>
      </c>
      <c r="B7470">
        <v>1.0371999999999999</v>
      </c>
    </row>
    <row r="7471" spans="1:2" x14ac:dyDescent="0.2">
      <c r="A7471" s="57">
        <v>36418</v>
      </c>
      <c r="B7471">
        <v>1.0368999999999999</v>
      </c>
    </row>
    <row r="7472" spans="1:2" x14ac:dyDescent="0.2">
      <c r="A7472" s="57">
        <v>36417</v>
      </c>
      <c r="B7472">
        <v>1.0362</v>
      </c>
    </row>
    <row r="7473" spans="1:2" x14ac:dyDescent="0.2">
      <c r="A7473" s="57">
        <v>36416</v>
      </c>
      <c r="B7473">
        <v>1.0342</v>
      </c>
    </row>
    <row r="7474" spans="1:2" x14ac:dyDescent="0.2">
      <c r="A7474" s="57">
        <v>36415</v>
      </c>
    </row>
    <row r="7475" spans="1:2" x14ac:dyDescent="0.2">
      <c r="A7475" s="57">
        <v>36414</v>
      </c>
    </row>
    <row r="7476" spans="1:2" x14ac:dyDescent="0.2">
      <c r="A7476" s="57">
        <v>36413</v>
      </c>
      <c r="B7476">
        <v>1.052</v>
      </c>
    </row>
    <row r="7477" spans="1:2" x14ac:dyDescent="0.2">
      <c r="A7477" s="57">
        <v>36412</v>
      </c>
      <c r="B7477">
        <v>1.0591999999999999</v>
      </c>
    </row>
    <row r="7478" spans="1:2" x14ac:dyDescent="0.2">
      <c r="A7478" s="57">
        <v>36411</v>
      </c>
      <c r="B7478">
        <v>1.0612999999999999</v>
      </c>
    </row>
    <row r="7479" spans="1:2" x14ac:dyDescent="0.2">
      <c r="A7479" s="57">
        <v>36410</v>
      </c>
      <c r="B7479">
        <v>1.0565</v>
      </c>
    </row>
    <row r="7480" spans="1:2" x14ac:dyDescent="0.2">
      <c r="A7480" s="57">
        <v>36409</v>
      </c>
      <c r="B7480">
        <v>1.0593999999999999</v>
      </c>
    </row>
    <row r="7481" spans="1:2" x14ac:dyDescent="0.2">
      <c r="A7481" s="57">
        <v>36408</v>
      </c>
    </row>
    <row r="7482" spans="1:2" x14ac:dyDescent="0.2">
      <c r="A7482" s="57">
        <v>36407</v>
      </c>
    </row>
    <row r="7483" spans="1:2" x14ac:dyDescent="0.2">
      <c r="A7483" s="57">
        <v>36406</v>
      </c>
      <c r="B7483">
        <v>1.0682</v>
      </c>
    </row>
    <row r="7484" spans="1:2" x14ac:dyDescent="0.2">
      <c r="A7484" s="57">
        <v>36405</v>
      </c>
      <c r="B7484">
        <v>1.0662</v>
      </c>
    </row>
    <row r="7485" spans="1:2" x14ac:dyDescent="0.2">
      <c r="A7485" s="57">
        <v>36404</v>
      </c>
      <c r="B7485">
        <v>1.0612999999999999</v>
      </c>
    </row>
    <row r="7486" spans="1:2" x14ac:dyDescent="0.2">
      <c r="A7486" s="57">
        <v>36403</v>
      </c>
      <c r="B7486">
        <v>1.0572999999999999</v>
      </c>
    </row>
    <row r="7487" spans="1:2" x14ac:dyDescent="0.2">
      <c r="A7487" s="57">
        <v>36402</v>
      </c>
      <c r="B7487">
        <v>1.0454000000000001</v>
      </c>
    </row>
    <row r="7488" spans="1:2" x14ac:dyDescent="0.2">
      <c r="A7488" s="57">
        <v>36401</v>
      </c>
    </row>
    <row r="7489" spans="1:2" x14ac:dyDescent="0.2">
      <c r="A7489" s="57">
        <v>36400</v>
      </c>
    </row>
    <row r="7490" spans="1:2" x14ac:dyDescent="0.2">
      <c r="A7490" s="57">
        <v>36399</v>
      </c>
      <c r="B7490">
        <v>1.0449999999999999</v>
      </c>
    </row>
    <row r="7491" spans="1:2" x14ac:dyDescent="0.2">
      <c r="A7491" s="57">
        <v>36398</v>
      </c>
      <c r="B7491">
        <v>1.0451999999999999</v>
      </c>
    </row>
    <row r="7492" spans="1:2" x14ac:dyDescent="0.2">
      <c r="A7492" s="57">
        <v>36397</v>
      </c>
      <c r="B7492">
        <v>1.0432999999999999</v>
      </c>
    </row>
    <row r="7493" spans="1:2" x14ac:dyDescent="0.2">
      <c r="A7493" s="57">
        <v>36396</v>
      </c>
      <c r="B7493">
        <v>1.0511999999999999</v>
      </c>
    </row>
    <row r="7494" spans="1:2" x14ac:dyDescent="0.2">
      <c r="A7494" s="57">
        <v>36395</v>
      </c>
      <c r="B7494">
        <v>1.0606</v>
      </c>
    </row>
    <row r="7495" spans="1:2" x14ac:dyDescent="0.2">
      <c r="A7495" s="57">
        <v>36394</v>
      </c>
    </row>
    <row r="7496" spans="1:2" x14ac:dyDescent="0.2">
      <c r="A7496" s="57">
        <v>36393</v>
      </c>
    </row>
    <row r="7497" spans="1:2" x14ac:dyDescent="0.2">
      <c r="A7497" s="57">
        <v>36392</v>
      </c>
      <c r="B7497">
        <v>1.0667</v>
      </c>
    </row>
    <row r="7498" spans="1:2" x14ac:dyDescent="0.2">
      <c r="A7498" s="57">
        <v>36391</v>
      </c>
      <c r="B7498">
        <v>1.0517000000000001</v>
      </c>
    </row>
    <row r="7499" spans="1:2" x14ac:dyDescent="0.2">
      <c r="A7499" s="57">
        <v>36390</v>
      </c>
      <c r="B7499">
        <v>1.0517000000000001</v>
      </c>
    </row>
    <row r="7500" spans="1:2" x14ac:dyDescent="0.2">
      <c r="A7500" s="57">
        <v>36389</v>
      </c>
      <c r="B7500">
        <v>1.0527</v>
      </c>
    </row>
    <row r="7501" spans="1:2" x14ac:dyDescent="0.2">
      <c r="A7501" s="57">
        <v>36388</v>
      </c>
      <c r="B7501">
        <v>1.0552999999999999</v>
      </c>
    </row>
    <row r="7502" spans="1:2" x14ac:dyDescent="0.2">
      <c r="A7502" s="57">
        <v>36387</v>
      </c>
    </row>
    <row r="7503" spans="1:2" x14ac:dyDescent="0.2">
      <c r="A7503" s="57">
        <v>36386</v>
      </c>
    </row>
    <row r="7504" spans="1:2" x14ac:dyDescent="0.2">
      <c r="A7504" s="57">
        <v>36385</v>
      </c>
      <c r="B7504">
        <v>1.0667</v>
      </c>
    </row>
    <row r="7505" spans="1:2" x14ac:dyDescent="0.2">
      <c r="A7505" s="57">
        <v>36384</v>
      </c>
      <c r="B7505">
        <v>1.0638000000000001</v>
      </c>
    </row>
    <row r="7506" spans="1:2" x14ac:dyDescent="0.2">
      <c r="A7506" s="57">
        <v>36383</v>
      </c>
      <c r="B7506">
        <v>1.0668</v>
      </c>
    </row>
    <row r="7507" spans="1:2" x14ac:dyDescent="0.2">
      <c r="A7507" s="57">
        <v>36382</v>
      </c>
      <c r="B7507">
        <v>1.0737000000000001</v>
      </c>
    </row>
    <row r="7508" spans="1:2" x14ac:dyDescent="0.2">
      <c r="A7508" s="57">
        <v>36381</v>
      </c>
      <c r="B7508">
        <v>1.0705</v>
      </c>
    </row>
    <row r="7509" spans="1:2" x14ac:dyDescent="0.2">
      <c r="A7509" s="57">
        <v>36380</v>
      </c>
    </row>
    <row r="7510" spans="1:2" x14ac:dyDescent="0.2">
      <c r="A7510" s="57">
        <v>36379</v>
      </c>
    </row>
    <row r="7511" spans="1:2" x14ac:dyDescent="0.2">
      <c r="A7511" s="57">
        <v>36378</v>
      </c>
      <c r="B7511">
        <v>1.0740000000000001</v>
      </c>
    </row>
    <row r="7512" spans="1:2" x14ac:dyDescent="0.2">
      <c r="A7512" s="57">
        <v>36377</v>
      </c>
      <c r="B7512">
        <v>1.0790999999999999</v>
      </c>
    </row>
    <row r="7513" spans="1:2" x14ac:dyDescent="0.2">
      <c r="A7513" s="57">
        <v>36376</v>
      </c>
      <c r="B7513">
        <v>1.0761000000000001</v>
      </c>
    </row>
    <row r="7514" spans="1:2" x14ac:dyDescent="0.2">
      <c r="A7514" s="57">
        <v>36375</v>
      </c>
      <c r="B7514">
        <v>1.0645</v>
      </c>
    </row>
    <row r="7515" spans="1:2" x14ac:dyDescent="0.2">
      <c r="A7515" s="57">
        <v>36374</v>
      </c>
      <c r="B7515">
        <v>1.0665</v>
      </c>
    </row>
    <row r="7516" spans="1:2" x14ac:dyDescent="0.2">
      <c r="A7516" s="57">
        <v>36373</v>
      </c>
    </row>
    <row r="7517" spans="1:2" x14ac:dyDescent="0.2">
      <c r="A7517" s="57">
        <v>36372</v>
      </c>
    </row>
    <row r="7518" spans="1:2" x14ac:dyDescent="0.2">
      <c r="A7518" s="57">
        <v>36371</v>
      </c>
      <c r="B7518">
        <v>1.0693999999999999</v>
      </c>
    </row>
    <row r="7519" spans="1:2" x14ac:dyDescent="0.2">
      <c r="A7519" s="57">
        <v>36370</v>
      </c>
      <c r="B7519">
        <v>1.0680000000000001</v>
      </c>
    </row>
    <row r="7520" spans="1:2" x14ac:dyDescent="0.2">
      <c r="A7520" s="57">
        <v>36369</v>
      </c>
      <c r="B7520">
        <v>1.0603</v>
      </c>
    </row>
    <row r="7521" spans="1:2" x14ac:dyDescent="0.2">
      <c r="A7521" s="57">
        <v>36368</v>
      </c>
      <c r="B7521">
        <v>1.0627</v>
      </c>
    </row>
    <row r="7522" spans="1:2" x14ac:dyDescent="0.2">
      <c r="A7522" s="57">
        <v>36367</v>
      </c>
      <c r="B7522">
        <v>1.0698000000000001</v>
      </c>
    </row>
    <row r="7523" spans="1:2" x14ac:dyDescent="0.2">
      <c r="A7523" s="57">
        <v>36366</v>
      </c>
    </row>
    <row r="7524" spans="1:2" x14ac:dyDescent="0.2">
      <c r="A7524" s="57">
        <v>36365</v>
      </c>
    </row>
    <row r="7525" spans="1:2" x14ac:dyDescent="0.2">
      <c r="A7525" s="57">
        <v>36364</v>
      </c>
      <c r="B7525">
        <v>1.0496000000000001</v>
      </c>
    </row>
    <row r="7526" spans="1:2" x14ac:dyDescent="0.2">
      <c r="A7526" s="57">
        <v>36363</v>
      </c>
      <c r="B7526">
        <v>1.0499000000000001</v>
      </c>
    </row>
    <row r="7527" spans="1:2" x14ac:dyDescent="0.2">
      <c r="A7527" s="57">
        <v>36362</v>
      </c>
      <c r="B7527">
        <v>1.0462</v>
      </c>
    </row>
    <row r="7528" spans="1:2" x14ac:dyDescent="0.2">
      <c r="A7528" s="57">
        <v>36361</v>
      </c>
      <c r="B7528">
        <v>1.0409999999999999</v>
      </c>
    </row>
    <row r="7529" spans="1:2" x14ac:dyDescent="0.2">
      <c r="A7529" s="57">
        <v>36360</v>
      </c>
      <c r="B7529">
        <v>1.0145999999999999</v>
      </c>
    </row>
    <row r="7530" spans="1:2" x14ac:dyDescent="0.2">
      <c r="A7530" s="57">
        <v>36359</v>
      </c>
    </row>
    <row r="7531" spans="1:2" x14ac:dyDescent="0.2">
      <c r="A7531" s="57">
        <v>36358</v>
      </c>
    </row>
    <row r="7532" spans="1:2" x14ac:dyDescent="0.2">
      <c r="A7532" s="57">
        <v>36357</v>
      </c>
      <c r="B7532">
        <v>1.0202</v>
      </c>
    </row>
    <row r="7533" spans="1:2" x14ac:dyDescent="0.2">
      <c r="A7533" s="57">
        <v>36356</v>
      </c>
      <c r="B7533">
        <v>1.0201</v>
      </c>
    </row>
    <row r="7534" spans="1:2" x14ac:dyDescent="0.2">
      <c r="A7534" s="57">
        <v>36355</v>
      </c>
      <c r="B7534">
        <v>1.0167999999999999</v>
      </c>
    </row>
    <row r="7535" spans="1:2" x14ac:dyDescent="0.2">
      <c r="A7535" s="57">
        <v>36354</v>
      </c>
      <c r="B7535">
        <v>1.0183</v>
      </c>
    </row>
    <row r="7536" spans="1:2" x14ac:dyDescent="0.2">
      <c r="A7536" s="57">
        <v>36353</v>
      </c>
      <c r="B7536">
        <v>1.0124</v>
      </c>
    </row>
    <row r="7537" spans="1:2" x14ac:dyDescent="0.2">
      <c r="A7537" s="57">
        <v>36352</v>
      </c>
    </row>
    <row r="7538" spans="1:2" x14ac:dyDescent="0.2">
      <c r="A7538" s="57">
        <v>36351</v>
      </c>
    </row>
    <row r="7539" spans="1:2" x14ac:dyDescent="0.2">
      <c r="A7539" s="57">
        <v>36350</v>
      </c>
      <c r="B7539">
        <v>1.0204</v>
      </c>
    </row>
    <row r="7540" spans="1:2" x14ac:dyDescent="0.2">
      <c r="A7540" s="57">
        <v>36349</v>
      </c>
      <c r="B7540">
        <v>1.0182</v>
      </c>
    </row>
    <row r="7541" spans="1:2" x14ac:dyDescent="0.2">
      <c r="A7541" s="57">
        <v>36348</v>
      </c>
      <c r="B7541">
        <v>1.0222</v>
      </c>
    </row>
    <row r="7542" spans="1:2" x14ac:dyDescent="0.2">
      <c r="A7542" s="57">
        <v>36347</v>
      </c>
      <c r="B7542">
        <v>1.0221</v>
      </c>
    </row>
    <row r="7543" spans="1:2" x14ac:dyDescent="0.2">
      <c r="A7543" s="57">
        <v>36346</v>
      </c>
      <c r="B7543">
        <v>1.0232000000000001</v>
      </c>
    </row>
    <row r="7544" spans="1:2" x14ac:dyDescent="0.2">
      <c r="A7544" s="57">
        <v>36345</v>
      </c>
    </row>
    <row r="7545" spans="1:2" x14ac:dyDescent="0.2">
      <c r="A7545" s="57">
        <v>36344</v>
      </c>
    </row>
    <row r="7546" spans="1:2" x14ac:dyDescent="0.2">
      <c r="A7546" s="57">
        <v>36343</v>
      </c>
      <c r="B7546">
        <v>1.0241</v>
      </c>
    </row>
    <row r="7547" spans="1:2" x14ac:dyDescent="0.2">
      <c r="A7547" s="57">
        <v>36342</v>
      </c>
      <c r="B7547">
        <v>1.0264</v>
      </c>
    </row>
    <row r="7548" spans="1:2" x14ac:dyDescent="0.2">
      <c r="A7548" s="57">
        <v>36341</v>
      </c>
      <c r="B7548">
        <v>1.0327999999999999</v>
      </c>
    </row>
    <row r="7549" spans="1:2" x14ac:dyDescent="0.2">
      <c r="A7549" s="57">
        <v>36340</v>
      </c>
      <c r="B7549">
        <v>1.0364</v>
      </c>
    </row>
    <row r="7550" spans="1:2" x14ac:dyDescent="0.2">
      <c r="A7550" s="57">
        <v>36339</v>
      </c>
      <c r="B7550">
        <v>1.0387999999999999</v>
      </c>
    </row>
    <row r="7551" spans="1:2" x14ac:dyDescent="0.2">
      <c r="A7551" s="57">
        <v>36338</v>
      </c>
    </row>
    <row r="7552" spans="1:2" x14ac:dyDescent="0.2">
      <c r="A7552" s="57">
        <v>36337</v>
      </c>
    </row>
    <row r="7553" spans="1:2" x14ac:dyDescent="0.2">
      <c r="A7553" s="57">
        <v>36336</v>
      </c>
      <c r="B7553">
        <v>1.0443</v>
      </c>
    </row>
    <row r="7554" spans="1:2" x14ac:dyDescent="0.2">
      <c r="A7554" s="57">
        <v>36335</v>
      </c>
      <c r="B7554">
        <v>1.0321</v>
      </c>
    </row>
    <row r="7555" spans="1:2" x14ac:dyDescent="0.2">
      <c r="A7555" s="57">
        <v>36334</v>
      </c>
      <c r="B7555">
        <v>1.028</v>
      </c>
    </row>
    <row r="7556" spans="1:2" x14ac:dyDescent="0.2">
      <c r="A7556" s="57">
        <v>36333</v>
      </c>
      <c r="B7556">
        <v>1.0313000000000001</v>
      </c>
    </row>
    <row r="7557" spans="1:2" x14ac:dyDescent="0.2">
      <c r="A7557" s="57">
        <v>36332</v>
      </c>
      <c r="B7557">
        <v>1.0339</v>
      </c>
    </row>
    <row r="7558" spans="1:2" x14ac:dyDescent="0.2">
      <c r="A7558" s="57">
        <v>36331</v>
      </c>
    </row>
    <row r="7559" spans="1:2" x14ac:dyDescent="0.2">
      <c r="A7559" s="57">
        <v>36330</v>
      </c>
    </row>
    <row r="7560" spans="1:2" x14ac:dyDescent="0.2">
      <c r="A7560" s="57">
        <v>36329</v>
      </c>
      <c r="B7560">
        <v>1.0387999999999999</v>
      </c>
    </row>
    <row r="7561" spans="1:2" x14ac:dyDescent="0.2">
      <c r="A7561" s="57">
        <v>36328</v>
      </c>
      <c r="B7561">
        <v>1.034</v>
      </c>
    </row>
    <row r="7562" spans="1:2" x14ac:dyDescent="0.2">
      <c r="A7562" s="57">
        <v>36327</v>
      </c>
      <c r="B7562">
        <v>1.0345</v>
      </c>
    </row>
    <row r="7563" spans="1:2" x14ac:dyDescent="0.2">
      <c r="A7563" s="57">
        <v>36326</v>
      </c>
      <c r="B7563">
        <v>1.0391999999999999</v>
      </c>
    </row>
    <row r="7564" spans="1:2" x14ac:dyDescent="0.2">
      <c r="A7564" s="57">
        <v>36325</v>
      </c>
      <c r="B7564">
        <v>1.0437000000000001</v>
      </c>
    </row>
    <row r="7565" spans="1:2" x14ac:dyDescent="0.2">
      <c r="A7565" s="57">
        <v>36324</v>
      </c>
    </row>
    <row r="7566" spans="1:2" x14ac:dyDescent="0.2">
      <c r="A7566" s="57">
        <v>36323</v>
      </c>
    </row>
    <row r="7567" spans="1:2" x14ac:dyDescent="0.2">
      <c r="A7567" s="57">
        <v>36322</v>
      </c>
      <c r="B7567">
        <v>1.0474000000000001</v>
      </c>
    </row>
    <row r="7568" spans="1:2" x14ac:dyDescent="0.2">
      <c r="A7568" s="57">
        <v>36321</v>
      </c>
      <c r="B7568">
        <v>1.0474000000000001</v>
      </c>
    </row>
    <row r="7569" spans="1:2" x14ac:dyDescent="0.2">
      <c r="A7569" s="57">
        <v>36320</v>
      </c>
      <c r="B7569">
        <v>1.0466</v>
      </c>
    </row>
    <row r="7570" spans="1:2" x14ac:dyDescent="0.2">
      <c r="A7570" s="57">
        <v>36319</v>
      </c>
      <c r="B7570">
        <v>1.0385</v>
      </c>
    </row>
    <row r="7571" spans="1:2" x14ac:dyDescent="0.2">
      <c r="A7571" s="57">
        <v>36318</v>
      </c>
      <c r="B7571">
        <v>1.0316000000000001</v>
      </c>
    </row>
    <row r="7572" spans="1:2" x14ac:dyDescent="0.2">
      <c r="A7572" s="57">
        <v>36317</v>
      </c>
    </row>
    <row r="7573" spans="1:2" x14ac:dyDescent="0.2">
      <c r="A7573" s="57">
        <v>36316</v>
      </c>
    </row>
    <row r="7574" spans="1:2" x14ac:dyDescent="0.2">
      <c r="A7574" s="57">
        <v>36315</v>
      </c>
      <c r="B7574">
        <v>1.0315000000000001</v>
      </c>
    </row>
    <row r="7575" spans="1:2" x14ac:dyDescent="0.2">
      <c r="A7575" s="57">
        <v>36314</v>
      </c>
      <c r="B7575">
        <v>1.0382</v>
      </c>
    </row>
    <row r="7576" spans="1:2" x14ac:dyDescent="0.2">
      <c r="A7576" s="57">
        <v>36313</v>
      </c>
      <c r="B7576">
        <v>1.0382</v>
      </c>
    </row>
    <row r="7577" spans="1:2" x14ac:dyDescent="0.2">
      <c r="A7577" s="57">
        <v>36312</v>
      </c>
      <c r="B7577">
        <v>1.0434000000000001</v>
      </c>
    </row>
    <row r="7578" spans="1:2" x14ac:dyDescent="0.2">
      <c r="A7578" s="57">
        <v>36311</v>
      </c>
      <c r="B7578">
        <v>1.0456000000000001</v>
      </c>
    </row>
    <row r="7579" spans="1:2" x14ac:dyDescent="0.2">
      <c r="A7579" s="57">
        <v>36310</v>
      </c>
    </row>
    <row r="7580" spans="1:2" x14ac:dyDescent="0.2">
      <c r="A7580" s="57">
        <v>36309</v>
      </c>
    </row>
    <row r="7581" spans="1:2" x14ac:dyDescent="0.2">
      <c r="A7581" s="57">
        <v>36308</v>
      </c>
      <c r="B7581">
        <v>1.0479000000000001</v>
      </c>
    </row>
    <row r="7582" spans="1:2" x14ac:dyDescent="0.2">
      <c r="A7582" s="57">
        <v>36307</v>
      </c>
      <c r="B7582">
        <v>1.0472999999999999</v>
      </c>
    </row>
    <row r="7583" spans="1:2" x14ac:dyDescent="0.2">
      <c r="A7583" s="57">
        <v>36306</v>
      </c>
      <c r="B7583">
        <v>1.0535000000000001</v>
      </c>
    </row>
    <row r="7584" spans="1:2" x14ac:dyDescent="0.2">
      <c r="A7584" s="57">
        <v>36305</v>
      </c>
      <c r="B7584">
        <v>1.0627</v>
      </c>
    </row>
    <row r="7585" spans="1:2" x14ac:dyDescent="0.2">
      <c r="A7585" s="57">
        <v>36304</v>
      </c>
      <c r="B7585">
        <v>1.0585</v>
      </c>
    </row>
    <row r="7586" spans="1:2" x14ac:dyDescent="0.2">
      <c r="A7586" s="57">
        <v>36303</v>
      </c>
    </row>
    <row r="7587" spans="1:2" x14ac:dyDescent="0.2">
      <c r="A7587" s="57">
        <v>36302</v>
      </c>
    </row>
    <row r="7588" spans="1:2" x14ac:dyDescent="0.2">
      <c r="A7588" s="57">
        <v>36301</v>
      </c>
      <c r="B7588">
        <v>1.0571999999999999</v>
      </c>
    </row>
    <row r="7589" spans="1:2" x14ac:dyDescent="0.2">
      <c r="A7589" s="57">
        <v>36300</v>
      </c>
      <c r="B7589">
        <v>1.0639000000000001</v>
      </c>
    </row>
    <row r="7590" spans="1:2" x14ac:dyDescent="0.2">
      <c r="A7590" s="57">
        <v>36299</v>
      </c>
      <c r="B7590">
        <v>1.0633999999999999</v>
      </c>
    </row>
    <row r="7591" spans="1:2" x14ac:dyDescent="0.2">
      <c r="A7591" s="57">
        <v>36298</v>
      </c>
      <c r="B7591">
        <v>1.069</v>
      </c>
    </row>
    <row r="7592" spans="1:2" x14ac:dyDescent="0.2">
      <c r="A7592" s="57">
        <v>36297</v>
      </c>
      <c r="B7592">
        <v>1.0685</v>
      </c>
    </row>
    <row r="7593" spans="1:2" x14ac:dyDescent="0.2">
      <c r="A7593" s="57">
        <v>36296</v>
      </c>
    </row>
    <row r="7594" spans="1:2" x14ac:dyDescent="0.2">
      <c r="A7594" s="57">
        <v>36295</v>
      </c>
    </row>
    <row r="7595" spans="1:2" x14ac:dyDescent="0.2">
      <c r="A7595" s="57">
        <v>36294</v>
      </c>
      <c r="B7595">
        <v>1.0676000000000001</v>
      </c>
    </row>
    <row r="7596" spans="1:2" x14ac:dyDescent="0.2">
      <c r="A7596" s="57">
        <v>36293</v>
      </c>
      <c r="B7596">
        <v>1.0622</v>
      </c>
    </row>
    <row r="7597" spans="1:2" x14ac:dyDescent="0.2">
      <c r="A7597" s="57">
        <v>36292</v>
      </c>
      <c r="B7597">
        <v>1.0645</v>
      </c>
    </row>
    <row r="7598" spans="1:2" x14ac:dyDescent="0.2">
      <c r="A7598" s="57">
        <v>36291</v>
      </c>
      <c r="B7598">
        <v>1.0731999999999999</v>
      </c>
    </row>
    <row r="7599" spans="1:2" x14ac:dyDescent="0.2">
      <c r="A7599" s="57">
        <v>36290</v>
      </c>
      <c r="B7599">
        <v>1.0734999999999999</v>
      </c>
    </row>
    <row r="7600" spans="1:2" x14ac:dyDescent="0.2">
      <c r="A7600" s="57">
        <v>36289</v>
      </c>
    </row>
    <row r="7601" spans="1:2" x14ac:dyDescent="0.2">
      <c r="A7601" s="57">
        <v>36288</v>
      </c>
    </row>
    <row r="7602" spans="1:2" x14ac:dyDescent="0.2">
      <c r="A7602" s="57">
        <v>36287</v>
      </c>
      <c r="B7602">
        <v>1.0786</v>
      </c>
    </row>
    <row r="7603" spans="1:2" x14ac:dyDescent="0.2">
      <c r="A7603" s="57">
        <v>36286</v>
      </c>
      <c r="B7603">
        <v>1.0799000000000001</v>
      </c>
    </row>
    <row r="7604" spans="1:2" x14ac:dyDescent="0.2">
      <c r="A7604" s="57">
        <v>36285</v>
      </c>
      <c r="B7604">
        <v>1.0667</v>
      </c>
    </row>
    <row r="7605" spans="1:2" x14ac:dyDescent="0.2">
      <c r="A7605" s="57">
        <v>36284</v>
      </c>
      <c r="B7605">
        <v>1.0564</v>
      </c>
    </row>
    <row r="7606" spans="1:2" x14ac:dyDescent="0.2">
      <c r="A7606" s="57">
        <v>36283</v>
      </c>
      <c r="B7606">
        <v>1.0589</v>
      </c>
    </row>
    <row r="7607" spans="1:2" x14ac:dyDescent="0.2">
      <c r="A7607" s="57">
        <v>36282</v>
      </c>
    </row>
    <row r="7608" spans="1:2" x14ac:dyDescent="0.2">
      <c r="A7608" s="57">
        <v>36281</v>
      </c>
    </row>
    <row r="7609" spans="1:2" x14ac:dyDescent="0.2">
      <c r="A7609" s="57">
        <v>36280</v>
      </c>
      <c r="B7609">
        <v>1.0597000000000001</v>
      </c>
    </row>
    <row r="7610" spans="1:2" x14ac:dyDescent="0.2">
      <c r="A7610" s="57">
        <v>36279</v>
      </c>
      <c r="B7610">
        <v>1.0604</v>
      </c>
    </row>
    <row r="7611" spans="1:2" x14ac:dyDescent="0.2">
      <c r="A7611" s="57">
        <v>36278</v>
      </c>
      <c r="B7611">
        <v>1.0666</v>
      </c>
    </row>
    <row r="7612" spans="1:2" x14ac:dyDescent="0.2">
      <c r="A7612" s="57">
        <v>36277</v>
      </c>
      <c r="B7612">
        <v>1.0629999999999999</v>
      </c>
    </row>
    <row r="7613" spans="1:2" x14ac:dyDescent="0.2">
      <c r="A7613" s="57">
        <v>36276</v>
      </c>
      <c r="B7613">
        <v>1.0613999999999999</v>
      </c>
    </row>
    <row r="7614" spans="1:2" x14ac:dyDescent="0.2">
      <c r="A7614" s="57">
        <v>36275</v>
      </c>
    </row>
    <row r="7615" spans="1:2" x14ac:dyDescent="0.2">
      <c r="A7615" s="57">
        <v>36274</v>
      </c>
    </row>
    <row r="7616" spans="1:2" x14ac:dyDescent="0.2">
      <c r="A7616" s="57">
        <v>36273</v>
      </c>
      <c r="B7616">
        <v>1.0633999999999999</v>
      </c>
    </row>
    <row r="7617" spans="1:2" x14ac:dyDescent="0.2">
      <c r="A7617" s="57">
        <v>36272</v>
      </c>
      <c r="B7617">
        <v>1.0581</v>
      </c>
    </row>
    <row r="7618" spans="1:2" x14ac:dyDescent="0.2">
      <c r="A7618" s="57">
        <v>36271</v>
      </c>
      <c r="B7618">
        <v>1.0586</v>
      </c>
    </row>
    <row r="7619" spans="1:2" x14ac:dyDescent="0.2">
      <c r="A7619" s="57">
        <v>36270</v>
      </c>
      <c r="B7619">
        <v>1.0646</v>
      </c>
    </row>
    <row r="7620" spans="1:2" x14ac:dyDescent="0.2">
      <c r="A7620" s="57">
        <v>36269</v>
      </c>
      <c r="B7620">
        <v>1.0636000000000001</v>
      </c>
    </row>
    <row r="7621" spans="1:2" x14ac:dyDescent="0.2">
      <c r="A7621" s="57">
        <v>36268</v>
      </c>
    </row>
    <row r="7622" spans="1:2" x14ac:dyDescent="0.2">
      <c r="A7622" s="57">
        <v>36267</v>
      </c>
    </row>
    <row r="7623" spans="1:2" x14ac:dyDescent="0.2">
      <c r="A7623" s="57">
        <v>36266</v>
      </c>
      <c r="B7623">
        <v>1.0668</v>
      </c>
    </row>
    <row r="7624" spans="1:2" x14ac:dyDescent="0.2">
      <c r="A7624" s="57">
        <v>36265</v>
      </c>
      <c r="B7624">
        <v>1.0786</v>
      </c>
    </row>
    <row r="7625" spans="1:2" x14ac:dyDescent="0.2">
      <c r="A7625" s="57">
        <v>36264</v>
      </c>
      <c r="B7625">
        <v>1.0787</v>
      </c>
    </row>
    <row r="7626" spans="1:2" x14ac:dyDescent="0.2">
      <c r="A7626" s="57">
        <v>36263</v>
      </c>
      <c r="B7626">
        <v>1.0765</v>
      </c>
    </row>
    <row r="7627" spans="1:2" x14ac:dyDescent="0.2">
      <c r="A7627" s="57">
        <v>36262</v>
      </c>
      <c r="B7627">
        <v>1.0867</v>
      </c>
    </row>
    <row r="7628" spans="1:2" x14ac:dyDescent="0.2">
      <c r="A7628" s="57">
        <v>36261</v>
      </c>
    </row>
    <row r="7629" spans="1:2" x14ac:dyDescent="0.2">
      <c r="A7629" s="57">
        <v>36260</v>
      </c>
    </row>
    <row r="7630" spans="1:2" x14ac:dyDescent="0.2">
      <c r="A7630" s="57">
        <v>36259</v>
      </c>
      <c r="B7630">
        <v>1.0778000000000001</v>
      </c>
    </row>
    <row r="7631" spans="1:2" x14ac:dyDescent="0.2">
      <c r="A7631" s="57">
        <v>36258</v>
      </c>
      <c r="B7631">
        <v>1.0818000000000001</v>
      </c>
    </row>
    <row r="7632" spans="1:2" x14ac:dyDescent="0.2">
      <c r="A7632" s="57">
        <v>36257</v>
      </c>
      <c r="B7632">
        <v>1.0811999999999999</v>
      </c>
    </row>
    <row r="7633" spans="1:2" x14ac:dyDescent="0.2">
      <c r="A7633" s="57">
        <v>36256</v>
      </c>
      <c r="B7633">
        <v>1.0726</v>
      </c>
    </row>
    <row r="7634" spans="1:2" x14ac:dyDescent="0.2">
      <c r="A7634" s="57">
        <v>36255</v>
      </c>
      <c r="B7634">
        <v>1.0751999999999999</v>
      </c>
    </row>
    <row r="7635" spans="1:2" x14ac:dyDescent="0.2">
      <c r="A7635" s="57">
        <v>36254</v>
      </c>
    </row>
    <row r="7636" spans="1:2" x14ac:dyDescent="0.2">
      <c r="A7636" s="57">
        <v>36253</v>
      </c>
    </row>
    <row r="7637" spans="1:2" x14ac:dyDescent="0.2">
      <c r="A7637" s="57">
        <v>36252</v>
      </c>
      <c r="B7637">
        <v>1.0771999999999999</v>
      </c>
    </row>
    <row r="7638" spans="1:2" x14ac:dyDescent="0.2">
      <c r="A7638" s="57">
        <v>36251</v>
      </c>
      <c r="B7638">
        <v>1.0771999999999999</v>
      </c>
    </row>
    <row r="7639" spans="1:2" x14ac:dyDescent="0.2">
      <c r="A7639" s="57">
        <v>36250</v>
      </c>
      <c r="B7639">
        <v>1.0742</v>
      </c>
    </row>
    <row r="7640" spans="1:2" x14ac:dyDescent="0.2">
      <c r="A7640" s="57">
        <v>36249</v>
      </c>
      <c r="B7640">
        <v>1.0710999999999999</v>
      </c>
    </row>
    <row r="7641" spans="1:2" x14ac:dyDescent="0.2">
      <c r="A7641" s="57">
        <v>36248</v>
      </c>
      <c r="B7641">
        <v>1.0691999999999999</v>
      </c>
    </row>
    <row r="7642" spans="1:2" x14ac:dyDescent="0.2">
      <c r="A7642" s="57">
        <v>36247</v>
      </c>
    </row>
    <row r="7643" spans="1:2" x14ac:dyDescent="0.2">
      <c r="A7643" s="57">
        <v>36246</v>
      </c>
    </row>
    <row r="7644" spans="1:2" x14ac:dyDescent="0.2">
      <c r="A7644" s="57">
        <v>36245</v>
      </c>
      <c r="B7644">
        <v>1.0814999999999999</v>
      </c>
    </row>
    <row r="7645" spans="1:2" x14ac:dyDescent="0.2">
      <c r="A7645" s="57">
        <v>36244</v>
      </c>
      <c r="B7645">
        <v>1.0898000000000001</v>
      </c>
    </row>
    <row r="7646" spans="1:2" x14ac:dyDescent="0.2">
      <c r="A7646" s="57">
        <v>36243</v>
      </c>
      <c r="B7646">
        <v>1.0928</v>
      </c>
    </row>
    <row r="7647" spans="1:2" x14ac:dyDescent="0.2">
      <c r="A7647" s="57">
        <v>36242</v>
      </c>
      <c r="B7647">
        <v>1.0895999999999999</v>
      </c>
    </row>
    <row r="7648" spans="1:2" x14ac:dyDescent="0.2">
      <c r="A7648" s="57">
        <v>36241</v>
      </c>
      <c r="B7648">
        <v>1.0864</v>
      </c>
    </row>
    <row r="7649" spans="1:2" x14ac:dyDescent="0.2">
      <c r="A7649" s="57">
        <v>36240</v>
      </c>
    </row>
    <row r="7650" spans="1:2" x14ac:dyDescent="0.2">
      <c r="A7650" s="57">
        <v>36239</v>
      </c>
    </row>
    <row r="7651" spans="1:2" x14ac:dyDescent="0.2">
      <c r="A7651" s="57">
        <v>36238</v>
      </c>
      <c r="B7651">
        <v>1.0914999999999999</v>
      </c>
    </row>
    <row r="7652" spans="1:2" x14ac:dyDescent="0.2">
      <c r="A7652" s="57">
        <v>36237</v>
      </c>
      <c r="B7652">
        <v>1.1012</v>
      </c>
    </row>
    <row r="7653" spans="1:2" x14ac:dyDescent="0.2">
      <c r="A7653" s="57">
        <v>36236</v>
      </c>
      <c r="B7653">
        <v>1.0966</v>
      </c>
    </row>
    <row r="7654" spans="1:2" x14ac:dyDescent="0.2">
      <c r="A7654" s="57">
        <v>36235</v>
      </c>
      <c r="B7654">
        <v>1.0901000000000001</v>
      </c>
    </row>
    <row r="7655" spans="1:2" x14ac:dyDescent="0.2">
      <c r="A7655" s="57">
        <v>36234</v>
      </c>
      <c r="B7655">
        <v>1.0949</v>
      </c>
    </row>
    <row r="7656" spans="1:2" x14ac:dyDescent="0.2">
      <c r="A7656" s="57">
        <v>36233</v>
      </c>
    </row>
    <row r="7657" spans="1:2" x14ac:dyDescent="0.2">
      <c r="A7657" s="57">
        <v>36232</v>
      </c>
    </row>
    <row r="7658" spans="1:2" x14ac:dyDescent="0.2">
      <c r="A7658" s="57">
        <v>36231</v>
      </c>
      <c r="B7658">
        <v>1.0931999999999999</v>
      </c>
    </row>
    <row r="7659" spans="1:2" x14ac:dyDescent="0.2">
      <c r="A7659" s="57">
        <v>36230</v>
      </c>
      <c r="B7659">
        <v>1.0891</v>
      </c>
    </row>
    <row r="7660" spans="1:2" x14ac:dyDescent="0.2">
      <c r="A7660" s="57">
        <v>36229</v>
      </c>
      <c r="B7660">
        <v>1.0952999999999999</v>
      </c>
    </row>
    <row r="7661" spans="1:2" x14ac:dyDescent="0.2">
      <c r="A7661" s="57">
        <v>36228</v>
      </c>
      <c r="B7661">
        <v>1.0863</v>
      </c>
    </row>
    <row r="7662" spans="1:2" x14ac:dyDescent="0.2">
      <c r="A7662" s="57">
        <v>36227</v>
      </c>
      <c r="B7662">
        <v>1.0908</v>
      </c>
    </row>
    <row r="7663" spans="1:2" x14ac:dyDescent="0.2">
      <c r="A7663" s="57">
        <v>36226</v>
      </c>
    </row>
    <row r="7664" spans="1:2" x14ac:dyDescent="0.2">
      <c r="A7664" s="57">
        <v>36225</v>
      </c>
    </row>
    <row r="7665" spans="1:2" x14ac:dyDescent="0.2">
      <c r="A7665" s="57">
        <v>36224</v>
      </c>
      <c r="B7665">
        <v>1.0833999999999999</v>
      </c>
    </row>
    <row r="7666" spans="1:2" x14ac:dyDescent="0.2">
      <c r="A7666" s="57">
        <v>36223</v>
      </c>
      <c r="B7666">
        <v>1.0866</v>
      </c>
    </row>
    <row r="7667" spans="1:2" x14ac:dyDescent="0.2">
      <c r="A7667" s="57">
        <v>36222</v>
      </c>
      <c r="B7667">
        <v>1.0899000000000001</v>
      </c>
    </row>
    <row r="7668" spans="1:2" x14ac:dyDescent="0.2">
      <c r="A7668" s="57">
        <v>36221</v>
      </c>
      <c r="B7668">
        <v>1.0887</v>
      </c>
    </row>
    <row r="7669" spans="1:2" x14ac:dyDescent="0.2">
      <c r="A7669" s="57">
        <v>36220</v>
      </c>
      <c r="B7669">
        <v>1.0986</v>
      </c>
    </row>
    <row r="7670" spans="1:2" x14ac:dyDescent="0.2">
      <c r="A7670" s="57">
        <v>36219</v>
      </c>
    </row>
    <row r="7671" spans="1:2" x14ac:dyDescent="0.2">
      <c r="A7671" s="57">
        <v>36218</v>
      </c>
    </row>
    <row r="7672" spans="1:2" x14ac:dyDescent="0.2">
      <c r="A7672" s="57">
        <v>36217</v>
      </c>
      <c r="B7672">
        <v>1.1017999999999999</v>
      </c>
    </row>
    <row r="7673" spans="1:2" x14ac:dyDescent="0.2">
      <c r="A7673" s="57">
        <v>36216</v>
      </c>
      <c r="B7673">
        <v>1.1031</v>
      </c>
    </row>
    <row r="7674" spans="1:2" x14ac:dyDescent="0.2">
      <c r="A7674" s="57">
        <v>36215</v>
      </c>
      <c r="B7674">
        <v>1.1036999999999999</v>
      </c>
    </row>
    <row r="7675" spans="1:2" x14ac:dyDescent="0.2">
      <c r="A7675" s="57">
        <v>36214</v>
      </c>
      <c r="B7675">
        <v>1.0969</v>
      </c>
    </row>
    <row r="7676" spans="1:2" x14ac:dyDescent="0.2">
      <c r="A7676" s="57">
        <v>36213</v>
      </c>
      <c r="B7676">
        <v>1.0992</v>
      </c>
    </row>
    <row r="7677" spans="1:2" x14ac:dyDescent="0.2">
      <c r="A7677" s="57">
        <v>36212</v>
      </c>
    </row>
    <row r="7678" spans="1:2" x14ac:dyDescent="0.2">
      <c r="A7678" s="57">
        <v>36211</v>
      </c>
    </row>
    <row r="7679" spans="1:2" x14ac:dyDescent="0.2">
      <c r="A7679" s="57">
        <v>36210</v>
      </c>
      <c r="B7679">
        <v>1.1163000000000001</v>
      </c>
    </row>
    <row r="7680" spans="1:2" x14ac:dyDescent="0.2">
      <c r="A7680" s="57">
        <v>36209</v>
      </c>
      <c r="B7680">
        <v>1.1232</v>
      </c>
    </row>
    <row r="7681" spans="1:2" x14ac:dyDescent="0.2">
      <c r="A7681" s="57">
        <v>36208</v>
      </c>
      <c r="B7681">
        <v>1.1253</v>
      </c>
    </row>
    <row r="7682" spans="1:2" x14ac:dyDescent="0.2">
      <c r="A7682" s="57">
        <v>36207</v>
      </c>
      <c r="B7682">
        <v>1.1175999999999999</v>
      </c>
    </row>
    <row r="7683" spans="1:2" x14ac:dyDescent="0.2">
      <c r="A7683" s="57">
        <v>36206</v>
      </c>
      <c r="B7683">
        <v>1.1237999999999999</v>
      </c>
    </row>
    <row r="7684" spans="1:2" x14ac:dyDescent="0.2">
      <c r="A7684" s="57">
        <v>36205</v>
      </c>
    </row>
    <row r="7685" spans="1:2" x14ac:dyDescent="0.2">
      <c r="A7685" s="57">
        <v>36204</v>
      </c>
    </row>
    <row r="7686" spans="1:2" x14ac:dyDescent="0.2">
      <c r="A7686" s="57">
        <v>36203</v>
      </c>
      <c r="B7686">
        <v>1.1244000000000001</v>
      </c>
    </row>
    <row r="7687" spans="1:2" x14ac:dyDescent="0.2">
      <c r="A7687" s="57">
        <v>36202</v>
      </c>
      <c r="B7687">
        <v>1.1312</v>
      </c>
    </row>
    <row r="7688" spans="1:2" x14ac:dyDescent="0.2">
      <c r="A7688" s="57">
        <v>36201</v>
      </c>
      <c r="B7688">
        <v>1.1342000000000001</v>
      </c>
    </row>
    <row r="7689" spans="1:2" x14ac:dyDescent="0.2">
      <c r="A7689" s="57">
        <v>36200</v>
      </c>
      <c r="B7689">
        <v>1.1333</v>
      </c>
    </row>
    <row r="7690" spans="1:2" x14ac:dyDescent="0.2">
      <c r="A7690" s="57">
        <v>36199</v>
      </c>
      <c r="B7690">
        <v>1.1246</v>
      </c>
    </row>
    <row r="7691" spans="1:2" x14ac:dyDescent="0.2">
      <c r="A7691" s="57">
        <v>36198</v>
      </c>
    </row>
    <row r="7692" spans="1:2" x14ac:dyDescent="0.2">
      <c r="A7692" s="57">
        <v>36197</v>
      </c>
    </row>
    <row r="7693" spans="1:2" x14ac:dyDescent="0.2">
      <c r="A7693" s="57">
        <v>36196</v>
      </c>
      <c r="B7693">
        <v>1.1292</v>
      </c>
    </row>
    <row r="7694" spans="1:2" x14ac:dyDescent="0.2">
      <c r="A7694" s="57">
        <v>36195</v>
      </c>
      <c r="B7694">
        <v>1.1263000000000001</v>
      </c>
    </row>
    <row r="7695" spans="1:2" x14ac:dyDescent="0.2">
      <c r="A7695" s="57">
        <v>36194</v>
      </c>
      <c r="B7695">
        <v>1.1336999999999999</v>
      </c>
    </row>
    <row r="7696" spans="1:2" x14ac:dyDescent="0.2">
      <c r="A7696" s="57">
        <v>36193</v>
      </c>
      <c r="B7696">
        <v>1.1336999999999999</v>
      </c>
    </row>
    <row r="7697" spans="1:2" x14ac:dyDescent="0.2">
      <c r="A7697" s="57">
        <v>36192</v>
      </c>
      <c r="B7697">
        <v>1.1337999999999999</v>
      </c>
    </row>
    <row r="7698" spans="1:2" x14ac:dyDescent="0.2">
      <c r="A7698" s="57">
        <v>36191</v>
      </c>
    </row>
    <row r="7699" spans="1:2" x14ac:dyDescent="0.2">
      <c r="A7699" s="57">
        <v>36190</v>
      </c>
    </row>
    <row r="7700" spans="1:2" x14ac:dyDescent="0.2">
      <c r="A7700" s="57">
        <v>36189</v>
      </c>
      <c r="B7700">
        <v>1.1384000000000001</v>
      </c>
    </row>
    <row r="7701" spans="1:2" x14ac:dyDescent="0.2">
      <c r="A7701" s="57">
        <v>36188</v>
      </c>
      <c r="B7701">
        <v>1.141</v>
      </c>
    </row>
    <row r="7702" spans="1:2" x14ac:dyDescent="0.2">
      <c r="A7702" s="57">
        <v>36187</v>
      </c>
      <c r="B7702">
        <v>1.1529</v>
      </c>
    </row>
    <row r="7703" spans="1:2" x14ac:dyDescent="0.2">
      <c r="A7703" s="57">
        <v>36186</v>
      </c>
      <c r="B7703">
        <v>1.1581999999999999</v>
      </c>
    </row>
    <row r="7704" spans="1:2" x14ac:dyDescent="0.2">
      <c r="A7704" s="57">
        <v>36185</v>
      </c>
      <c r="B7704">
        <v>1.1584000000000001</v>
      </c>
    </row>
    <row r="7705" spans="1:2" x14ac:dyDescent="0.2">
      <c r="A7705" s="57">
        <v>36184</v>
      </c>
    </row>
    <row r="7706" spans="1:2" x14ac:dyDescent="0.2">
      <c r="A7706" s="57">
        <v>36183</v>
      </c>
    </row>
    <row r="7707" spans="1:2" x14ac:dyDescent="0.2">
      <c r="A7707" s="57">
        <v>36182</v>
      </c>
      <c r="B7707">
        <v>1.1567000000000001</v>
      </c>
    </row>
    <row r="7708" spans="1:2" x14ac:dyDescent="0.2">
      <c r="A7708" s="57">
        <v>36181</v>
      </c>
      <c r="B7708">
        <v>1.1572</v>
      </c>
    </row>
    <row r="7709" spans="1:2" x14ac:dyDescent="0.2">
      <c r="A7709" s="57">
        <v>36180</v>
      </c>
      <c r="B7709">
        <v>1.1575</v>
      </c>
    </row>
    <row r="7710" spans="1:2" x14ac:dyDescent="0.2">
      <c r="A7710" s="57">
        <v>36179</v>
      </c>
      <c r="B7710">
        <v>1.1616</v>
      </c>
    </row>
    <row r="7711" spans="1:2" x14ac:dyDescent="0.2">
      <c r="A7711" s="57">
        <v>36178</v>
      </c>
      <c r="B7711">
        <v>1.1612</v>
      </c>
    </row>
    <row r="7712" spans="1:2" x14ac:dyDescent="0.2">
      <c r="A7712" s="57">
        <v>36177</v>
      </c>
    </row>
    <row r="7713" spans="1:2" x14ac:dyDescent="0.2">
      <c r="A7713" s="57">
        <v>36176</v>
      </c>
    </row>
    <row r="7714" spans="1:2" x14ac:dyDescent="0.2">
      <c r="A7714" s="57">
        <v>36175</v>
      </c>
      <c r="B7714">
        <v>1.1626000000000001</v>
      </c>
    </row>
    <row r="7715" spans="1:2" x14ac:dyDescent="0.2">
      <c r="A7715" s="57">
        <v>36174</v>
      </c>
      <c r="B7715">
        <v>1.1653</v>
      </c>
    </row>
    <row r="7716" spans="1:2" x14ac:dyDescent="0.2">
      <c r="A7716" s="57">
        <v>36173</v>
      </c>
      <c r="B7716">
        <v>1.1744000000000001</v>
      </c>
    </row>
    <row r="7717" spans="1:2" x14ac:dyDescent="0.2">
      <c r="A7717" s="57">
        <v>36172</v>
      </c>
      <c r="B7717">
        <v>1.1519999999999999</v>
      </c>
    </row>
    <row r="7718" spans="1:2" x14ac:dyDescent="0.2">
      <c r="A7718" s="57">
        <v>36171</v>
      </c>
      <c r="B7718">
        <v>1.1569</v>
      </c>
    </row>
    <row r="7719" spans="1:2" x14ac:dyDescent="0.2">
      <c r="A7719" s="57">
        <v>36170</v>
      </c>
    </row>
    <row r="7720" spans="1:2" x14ac:dyDescent="0.2">
      <c r="A7720" s="57">
        <v>36169</v>
      </c>
    </row>
    <row r="7721" spans="1:2" x14ac:dyDescent="0.2">
      <c r="A7721" s="57">
        <v>36168</v>
      </c>
      <c r="B7721">
        <v>1.1658999999999999</v>
      </c>
    </row>
    <row r="7722" spans="1:2" x14ac:dyDescent="0.2">
      <c r="A7722" s="57">
        <v>36167</v>
      </c>
      <c r="B7722">
        <v>1.1632</v>
      </c>
    </row>
    <row r="7723" spans="1:2" x14ac:dyDescent="0.2">
      <c r="A7723" s="57">
        <v>36166</v>
      </c>
      <c r="B7723">
        <v>1.1742999999999999</v>
      </c>
    </row>
    <row r="7724" spans="1:2" x14ac:dyDescent="0.2">
      <c r="A7724" s="57">
        <v>36165</v>
      </c>
      <c r="B7724">
        <v>1.179</v>
      </c>
    </row>
    <row r="7725" spans="1:2" x14ac:dyDescent="0.2">
      <c r="A7725" s="57">
        <v>36164</v>
      </c>
      <c r="B7725">
        <v>1.1789000000000001</v>
      </c>
    </row>
  </sheetData>
  <pageMargins left="0.7" right="0.7" top="0.75" bottom="0.75" header="0.3" footer="0.3"/>
  <tableParts count="1">
    <tablePart r:id="rId1"/>
  </tablePart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A4B361F-ADA3-4166-A8FE-E42EA295CD91}">
  <sheetPr codeName="Feuil8"/>
  <dimension ref="A1:B23"/>
  <sheetViews>
    <sheetView workbookViewId="0">
      <selection activeCell="G23" sqref="G23"/>
    </sheetView>
  </sheetViews>
  <sheetFormatPr baseColWidth="10" defaultRowHeight="14.25" x14ac:dyDescent="0.2"/>
  <cols>
    <col min="1" max="1" width="21.625" bestFit="1" customWidth="1"/>
    <col min="2" max="3" width="18.5" bestFit="1" customWidth="1"/>
    <col min="4" max="10" width="15.625" bestFit="1" customWidth="1"/>
    <col min="11" max="11" width="7.25" bestFit="1" customWidth="1"/>
    <col min="12" max="13" width="15.625" bestFit="1" customWidth="1"/>
    <col min="14" max="14" width="7.25" bestFit="1" customWidth="1"/>
    <col min="15" max="23" width="15.625" bestFit="1" customWidth="1"/>
    <col min="24" max="24" width="7.25" bestFit="1" customWidth="1"/>
    <col min="25" max="30" width="15.625" bestFit="1" customWidth="1"/>
    <col min="31" max="31" width="7.25" bestFit="1" customWidth="1"/>
    <col min="32" max="33" width="15.625" bestFit="1" customWidth="1"/>
    <col min="34" max="34" width="14.375" bestFit="1" customWidth="1"/>
    <col min="35" max="48" width="15.625" bestFit="1" customWidth="1"/>
    <col min="49" max="49" width="7.25" bestFit="1" customWidth="1"/>
    <col min="50" max="57" width="15.625" bestFit="1" customWidth="1"/>
    <col min="58" max="58" width="8.125" bestFit="1" customWidth="1"/>
    <col min="59" max="59" width="9.25" bestFit="1" customWidth="1"/>
    <col min="60" max="60" width="11.375" bestFit="1" customWidth="1"/>
    <col min="61" max="61" width="8.875" bestFit="1" customWidth="1"/>
    <col min="62" max="62" width="15.625" bestFit="1" customWidth="1"/>
    <col min="63" max="63" width="8.875" bestFit="1" customWidth="1"/>
    <col min="64" max="66" width="9.25" bestFit="1" customWidth="1"/>
    <col min="67" max="67" width="12.5" bestFit="1" customWidth="1"/>
    <col min="68" max="72" width="9.25" bestFit="1" customWidth="1"/>
    <col min="73" max="73" width="12.5" bestFit="1" customWidth="1"/>
    <col min="74" max="77" width="9.25" bestFit="1" customWidth="1"/>
    <col min="78" max="78" width="12.5" bestFit="1" customWidth="1"/>
    <col min="79" max="81" width="9.25" bestFit="1" customWidth="1"/>
    <col min="82" max="82" width="12.5" bestFit="1" customWidth="1"/>
    <col min="83" max="89" width="9.25" bestFit="1" customWidth="1"/>
    <col min="90" max="90" width="12.5" bestFit="1" customWidth="1"/>
    <col min="91" max="95" width="9.25" bestFit="1" customWidth="1"/>
    <col min="96" max="96" width="12.5" bestFit="1" customWidth="1"/>
    <col min="97" max="97" width="9.25" bestFit="1" customWidth="1"/>
    <col min="98" max="98" width="11.375" bestFit="1" customWidth="1"/>
    <col min="99" max="99" width="8.875" bestFit="1" customWidth="1"/>
    <col min="100" max="103" width="9.25" bestFit="1" customWidth="1"/>
    <col min="104" max="104" width="12.5" bestFit="1" customWidth="1"/>
    <col min="105" max="107" width="9.25" bestFit="1" customWidth="1"/>
    <col min="108" max="108" width="12.5" bestFit="1" customWidth="1"/>
    <col min="109" max="109" width="9.25" bestFit="1" customWidth="1"/>
    <col min="110" max="110" width="12.5" bestFit="1" customWidth="1"/>
    <col min="111" max="113" width="9.25" bestFit="1" customWidth="1"/>
    <col min="114" max="114" width="12.5" bestFit="1" customWidth="1"/>
    <col min="115" max="115" width="9.25" bestFit="1" customWidth="1"/>
    <col min="116" max="116" width="11.375" bestFit="1" customWidth="1"/>
    <col min="117" max="117" width="8.875" bestFit="1" customWidth="1"/>
    <col min="118" max="119" width="9.25" bestFit="1" customWidth="1"/>
    <col min="120" max="120" width="12.5" bestFit="1" customWidth="1"/>
    <col min="121" max="121" width="9.25" bestFit="1" customWidth="1"/>
    <col min="122" max="122" width="11.375" bestFit="1" customWidth="1"/>
    <col min="123" max="123" width="8.875" bestFit="1" customWidth="1"/>
    <col min="124" max="124" width="9.25" bestFit="1" customWidth="1"/>
    <col min="125" max="125" width="12.5" bestFit="1" customWidth="1"/>
    <col min="126" max="126" width="9.25" bestFit="1" customWidth="1"/>
    <col min="127" max="127" width="11.375" bestFit="1" customWidth="1"/>
    <col min="128" max="128" width="8.875" bestFit="1" customWidth="1"/>
    <col min="129" max="129" width="13.5" bestFit="1" customWidth="1"/>
  </cols>
  <sheetData>
    <row r="1" spans="1:2" x14ac:dyDescent="0.2">
      <c r="A1" s="3" t="s">
        <v>65</v>
      </c>
      <c r="B1" t="s">
        <v>59</v>
      </c>
    </row>
    <row r="2" spans="1:2" x14ac:dyDescent="0.2">
      <c r="A2" s="3" t="s">
        <v>66</v>
      </c>
      <c r="B2" t="s">
        <v>59</v>
      </c>
    </row>
    <row r="3" spans="1:2" x14ac:dyDescent="0.2">
      <c r="A3" s="3" t="s">
        <v>67</v>
      </c>
      <c r="B3" t="s">
        <v>59</v>
      </c>
    </row>
    <row r="4" spans="1:2" x14ac:dyDescent="0.2">
      <c r="A4" s="3" t="s">
        <v>1</v>
      </c>
      <c r="B4" t="s">
        <v>59</v>
      </c>
    </row>
    <row r="5" spans="1:2" x14ac:dyDescent="0.2">
      <c r="A5" s="3" t="s">
        <v>106</v>
      </c>
      <c r="B5" t="s">
        <v>59</v>
      </c>
    </row>
    <row r="7" spans="1:2" x14ac:dyDescent="0.2">
      <c r="A7" s="3" t="s">
        <v>44</v>
      </c>
      <c r="B7" t="s">
        <v>50</v>
      </c>
    </row>
    <row r="8" spans="1:2" x14ac:dyDescent="0.2">
      <c r="A8" s="96">
        <v>43864</v>
      </c>
      <c r="B8" s="6">
        <v>-1.3794206433297984E-2</v>
      </c>
    </row>
    <row r="9" spans="1:2" x14ac:dyDescent="0.2">
      <c r="A9" s="96">
        <v>43865</v>
      </c>
      <c r="B9" s="6">
        <v>-5.210703915875381E-2</v>
      </c>
    </row>
    <row r="10" spans="1:2" x14ac:dyDescent="0.2">
      <c r="A10" s="96">
        <v>43866</v>
      </c>
      <c r="B10" s="6">
        <v>-9.096170446519658E-2</v>
      </c>
    </row>
    <row r="11" spans="1:2" x14ac:dyDescent="0.2">
      <c r="A11" s="96">
        <v>43867</v>
      </c>
      <c r="B11" s="6">
        <v>-4.1189280389233307E-2</v>
      </c>
    </row>
    <row r="12" spans="1:2" x14ac:dyDescent="0.2">
      <c r="A12" s="96">
        <v>43868</v>
      </c>
      <c r="B12" s="6">
        <v>0</v>
      </c>
    </row>
    <row r="13" spans="1:2" x14ac:dyDescent="0.2">
      <c r="A13" s="96">
        <v>43871</v>
      </c>
      <c r="B13" s="6">
        <v>-6.5071615820067485E-2</v>
      </c>
    </row>
    <row r="14" spans="1:2" x14ac:dyDescent="0.2">
      <c r="A14" s="96">
        <v>43872</v>
      </c>
      <c r="B14" s="6">
        <v>-0.1251187264921545</v>
      </c>
    </row>
    <row r="15" spans="1:2" x14ac:dyDescent="0.2">
      <c r="A15" s="96">
        <v>43873</v>
      </c>
      <c r="B15" s="6">
        <v>-0.12956384635842089</v>
      </c>
    </row>
    <row r="16" spans="1:2" x14ac:dyDescent="0.2">
      <c r="A16" s="96">
        <v>43874</v>
      </c>
      <c r="B16" s="6">
        <v>-0.17597165761179279</v>
      </c>
    </row>
    <row r="17" spans="1:2" x14ac:dyDescent="0.2">
      <c r="A17" s="96">
        <v>43875</v>
      </c>
      <c r="B17" s="6">
        <v>-0.26388625052239656</v>
      </c>
    </row>
    <row r="18" spans="1:2" x14ac:dyDescent="0.2">
      <c r="A18" s="96">
        <v>43878</v>
      </c>
      <c r="B18" s="6">
        <v>-0.22414611906842441</v>
      </c>
    </row>
    <row r="19" spans="1:2" x14ac:dyDescent="0.2">
      <c r="A19" s="96">
        <v>43879</v>
      </c>
      <c r="B19" s="6">
        <v>-0.23844078872383256</v>
      </c>
    </row>
    <row r="20" spans="1:2" x14ac:dyDescent="0.2">
      <c r="A20" s="96">
        <v>43880</v>
      </c>
      <c r="B20" s="6">
        <v>0</v>
      </c>
    </row>
    <row r="21" spans="1:2" x14ac:dyDescent="0.2">
      <c r="A21" s="96">
        <v>43881</v>
      </c>
      <c r="B21" s="6">
        <v>0</v>
      </c>
    </row>
    <row r="22" spans="1:2" x14ac:dyDescent="0.2">
      <c r="A22" s="96">
        <v>43882</v>
      </c>
      <c r="B22" s="6">
        <v>0</v>
      </c>
    </row>
    <row r="23" spans="1:2" x14ac:dyDescent="0.2">
      <c r="A23" s="96" t="s">
        <v>45</v>
      </c>
      <c r="B23" s="6">
        <v>-0.26388625052239656</v>
      </c>
    </row>
  </sheetData>
  <pageMargins left="0.7" right="0.7" top="0.75" bottom="0.75" header="0.3" footer="0.3"/>
  <pageSetup paperSize="9" orientation="portrait" horizontalDpi="1200" verticalDpi="1200"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C6A580-9AC3-4A27-82F8-CBAB9451C285}">
  <sheetPr codeName="Feuil9"/>
  <dimension ref="A1:B23"/>
  <sheetViews>
    <sheetView workbookViewId="0">
      <selection activeCell="A17" sqref="A17"/>
    </sheetView>
  </sheetViews>
  <sheetFormatPr baseColWidth="10" defaultRowHeight="14.25" x14ac:dyDescent="0.2"/>
  <cols>
    <col min="1" max="1" width="21.625" bestFit="1" customWidth="1"/>
    <col min="2" max="2" width="17.125" bestFit="1" customWidth="1"/>
    <col min="3" max="3" width="7.75" bestFit="1" customWidth="1"/>
    <col min="4" max="4" width="13.5" bestFit="1" customWidth="1"/>
    <col min="5" max="7" width="9.75" bestFit="1" customWidth="1"/>
    <col min="8" max="8" width="7.875" bestFit="1" customWidth="1"/>
    <col min="9" max="15" width="9.75" bestFit="1" customWidth="1"/>
    <col min="16" max="16" width="7.875" bestFit="1" customWidth="1"/>
    <col min="17" max="17" width="8.5" bestFit="1" customWidth="1"/>
    <col min="18" max="20" width="7.75" bestFit="1" customWidth="1"/>
    <col min="21" max="21" width="5.875" bestFit="1" customWidth="1"/>
    <col min="22" max="22" width="7.75" bestFit="1" customWidth="1"/>
    <col min="23" max="25" width="9" bestFit="1" customWidth="1"/>
    <col min="26" max="27" width="7.125" bestFit="1" customWidth="1"/>
    <col min="28" max="28" width="9" bestFit="1" customWidth="1"/>
    <col min="29" max="29" width="7.125" bestFit="1" customWidth="1"/>
    <col min="30" max="31" width="9" bestFit="1" customWidth="1"/>
    <col min="32" max="33" width="7.125" bestFit="1" customWidth="1"/>
    <col min="34" max="40" width="9" bestFit="1" customWidth="1"/>
    <col min="41" max="41" width="13.5" bestFit="1" customWidth="1"/>
    <col min="42" max="43" width="9" bestFit="1" customWidth="1"/>
    <col min="44" max="50" width="10.25" bestFit="1" customWidth="1"/>
    <col min="51" max="51" width="8.375" bestFit="1" customWidth="1"/>
    <col min="52" max="54" width="10.25" bestFit="1" customWidth="1"/>
    <col min="55" max="55" width="8.375" bestFit="1" customWidth="1"/>
    <col min="56" max="58" width="10.25" bestFit="1" customWidth="1"/>
    <col min="59" max="59" width="8.375" bestFit="1" customWidth="1"/>
    <col min="60" max="70" width="10.25" bestFit="1" customWidth="1"/>
    <col min="71" max="71" width="13.5" bestFit="1" customWidth="1"/>
    <col min="72" max="74" width="10.25" bestFit="1" customWidth="1"/>
    <col min="75" max="75" width="8.875" bestFit="1" customWidth="1"/>
    <col min="76" max="77" width="10.25" bestFit="1" customWidth="1"/>
    <col min="78" max="78" width="8.875" bestFit="1" customWidth="1"/>
    <col min="79" max="80" width="9.75" bestFit="1" customWidth="1"/>
    <col min="81" max="81" width="8.875" bestFit="1" customWidth="1"/>
    <col min="82" max="82" width="13.5" bestFit="1" customWidth="1"/>
    <col min="83" max="83" width="12.5" bestFit="1" customWidth="1"/>
    <col min="84" max="90" width="10.25" bestFit="1" customWidth="1"/>
    <col min="91" max="91" width="12.5" bestFit="1" customWidth="1"/>
    <col min="92" max="96" width="10.25" bestFit="1" customWidth="1"/>
    <col min="97" max="97" width="12.5" bestFit="1" customWidth="1"/>
    <col min="98" max="98" width="9.25" bestFit="1" customWidth="1"/>
    <col min="99" max="99" width="11.375" bestFit="1" customWidth="1"/>
    <col min="100" max="100" width="8.875" bestFit="1" customWidth="1"/>
    <col min="101" max="104" width="9.25" bestFit="1" customWidth="1"/>
    <col min="105" max="105" width="12.5" bestFit="1" customWidth="1"/>
    <col min="106" max="108" width="10.25" bestFit="1" customWidth="1"/>
    <col min="109" max="109" width="12.5" bestFit="1" customWidth="1"/>
    <col min="110" max="110" width="10.25" bestFit="1" customWidth="1"/>
    <col min="111" max="111" width="12.5" bestFit="1" customWidth="1"/>
    <col min="112" max="114" width="10.25" bestFit="1" customWidth="1"/>
    <col min="115" max="115" width="12.5" bestFit="1" customWidth="1"/>
    <col min="116" max="116" width="9.25" bestFit="1" customWidth="1"/>
    <col min="117" max="117" width="11.375" bestFit="1" customWidth="1"/>
    <col min="118" max="118" width="8.875" bestFit="1" customWidth="1"/>
    <col min="119" max="120" width="10.25" bestFit="1" customWidth="1"/>
    <col min="121" max="121" width="12.5" bestFit="1" customWidth="1"/>
    <col min="122" max="122" width="9.25" bestFit="1" customWidth="1"/>
    <col min="123" max="123" width="11.375" bestFit="1" customWidth="1"/>
    <col min="124" max="124" width="8.875" bestFit="1" customWidth="1"/>
    <col min="125" max="126" width="9.75" bestFit="1" customWidth="1"/>
    <col min="127" max="127" width="12.5" bestFit="1" customWidth="1"/>
    <col min="128" max="128" width="9.25" bestFit="1" customWidth="1"/>
    <col min="129" max="129" width="11.375" bestFit="1" customWidth="1"/>
    <col min="130" max="130" width="8.875" bestFit="1" customWidth="1"/>
    <col min="131" max="131" width="13.5" bestFit="1" customWidth="1"/>
  </cols>
  <sheetData>
    <row r="1" spans="1:2" x14ac:dyDescent="0.2">
      <c r="A1" s="3" t="s">
        <v>1</v>
      </c>
      <c r="B1" t="s">
        <v>59</v>
      </c>
    </row>
    <row r="2" spans="1:2" x14ac:dyDescent="0.2">
      <c r="A2" s="3" t="s">
        <v>65</v>
      </c>
      <c r="B2" t="s">
        <v>59</v>
      </c>
    </row>
    <row r="3" spans="1:2" x14ac:dyDescent="0.2">
      <c r="A3" s="3" t="s">
        <v>66</v>
      </c>
      <c r="B3" t="s">
        <v>59</v>
      </c>
    </row>
    <row r="4" spans="1:2" x14ac:dyDescent="0.2">
      <c r="A4" s="3" t="s">
        <v>67</v>
      </c>
      <c r="B4" t="s">
        <v>59</v>
      </c>
    </row>
    <row r="5" spans="1:2" x14ac:dyDescent="0.2">
      <c r="A5" s="3" t="s">
        <v>106</v>
      </c>
      <c r="B5" t="s">
        <v>59</v>
      </c>
    </row>
    <row r="7" spans="1:2" x14ac:dyDescent="0.2">
      <c r="A7" s="3" t="s">
        <v>44</v>
      </c>
      <c r="B7" t="s">
        <v>48</v>
      </c>
    </row>
    <row r="8" spans="1:2" x14ac:dyDescent="0.2">
      <c r="A8" s="96">
        <v>43864</v>
      </c>
      <c r="B8" s="5">
        <v>22.1</v>
      </c>
    </row>
    <row r="9" spans="1:2" x14ac:dyDescent="0.2">
      <c r="A9" s="96">
        <v>43865</v>
      </c>
      <c r="B9" s="5">
        <v>26.199999999999996</v>
      </c>
    </row>
    <row r="10" spans="1:2" x14ac:dyDescent="0.2">
      <c r="A10" s="96">
        <v>43866</v>
      </c>
      <c r="B10" s="5">
        <v>38.700000000000024</v>
      </c>
    </row>
    <row r="11" spans="1:2" x14ac:dyDescent="0.2">
      <c r="A11" s="96">
        <v>43867</v>
      </c>
      <c r="B11" s="5">
        <v>72.000000000000028</v>
      </c>
    </row>
    <row r="12" spans="1:2" x14ac:dyDescent="0.2">
      <c r="A12" s="96">
        <v>43868</v>
      </c>
      <c r="B12" s="5">
        <v>104.80000000000003</v>
      </c>
    </row>
    <row r="13" spans="1:2" x14ac:dyDescent="0.2">
      <c r="A13" s="96">
        <v>43871</v>
      </c>
      <c r="B13" s="5">
        <v>-33.999999999999957</v>
      </c>
    </row>
    <row r="14" spans="1:2" x14ac:dyDescent="0.2">
      <c r="A14" s="96">
        <v>43872</v>
      </c>
      <c r="B14" s="5">
        <v>-172.19999999999993</v>
      </c>
    </row>
    <row r="15" spans="1:2" x14ac:dyDescent="0.2">
      <c r="A15" s="96">
        <v>43873</v>
      </c>
      <c r="B15" s="5">
        <v>-173.19999999999993</v>
      </c>
    </row>
    <row r="16" spans="1:2" x14ac:dyDescent="0.2">
      <c r="A16" s="96">
        <v>43874</v>
      </c>
      <c r="B16" s="5">
        <v>-287.69999999999993</v>
      </c>
    </row>
    <row r="17" spans="1:2" x14ac:dyDescent="0.2">
      <c r="A17" s="96">
        <v>43875</v>
      </c>
      <c r="B17" s="5">
        <v>-497.39999999999986</v>
      </c>
    </row>
    <row r="18" spans="1:2" x14ac:dyDescent="0.2">
      <c r="A18" s="96">
        <v>43878</v>
      </c>
      <c r="B18" s="5">
        <v>-386.49999999999989</v>
      </c>
    </row>
    <row r="19" spans="1:2" x14ac:dyDescent="0.2">
      <c r="A19" s="96">
        <v>43879</v>
      </c>
      <c r="B19" s="5">
        <v>-352.09999999999991</v>
      </c>
    </row>
    <row r="20" spans="1:2" x14ac:dyDescent="0.2">
      <c r="A20" s="96">
        <v>43880</v>
      </c>
      <c r="B20" s="5">
        <v>-352.09999999999991</v>
      </c>
    </row>
    <row r="21" spans="1:2" x14ac:dyDescent="0.2">
      <c r="A21" s="96">
        <v>43881</v>
      </c>
      <c r="B21" s="5">
        <v>-295.49999999999989</v>
      </c>
    </row>
    <row r="22" spans="1:2" x14ac:dyDescent="0.2">
      <c r="A22" s="96">
        <v>43882</v>
      </c>
      <c r="B22" s="5">
        <v>-294.49999999999989</v>
      </c>
    </row>
    <row r="23" spans="1:2" x14ac:dyDescent="0.2">
      <c r="A23" s="96" t="s">
        <v>45</v>
      </c>
      <c r="B23" s="5"/>
    </row>
  </sheetData>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57F423-A145-497C-A7F4-037D2F349CE4}">
  <sheetPr codeName="Feuil10"/>
  <dimension ref="A1:U25"/>
  <sheetViews>
    <sheetView workbookViewId="0">
      <selection activeCell="T26" sqref="T26"/>
    </sheetView>
  </sheetViews>
  <sheetFormatPr baseColWidth="10" defaultRowHeight="14.25" x14ac:dyDescent="0.2"/>
  <cols>
    <col min="1" max="1" width="21.625" bestFit="1" customWidth="1"/>
    <col min="2" max="2" width="24.375" bestFit="1" customWidth="1"/>
    <col min="3" max="3" width="8.5" bestFit="1" customWidth="1"/>
    <col min="4" max="5" width="5.5" bestFit="1" customWidth="1"/>
    <col min="6" max="6" width="18.75" bestFit="1" customWidth="1"/>
    <col min="7" max="7" width="18.5" bestFit="1" customWidth="1"/>
    <col min="8" max="8" width="6.5" bestFit="1" customWidth="1"/>
    <col min="9" max="9" width="9.125" bestFit="1" customWidth="1"/>
    <col min="10" max="10" width="14.25" bestFit="1" customWidth="1"/>
    <col min="11" max="11" width="14.375" bestFit="1" customWidth="1"/>
    <col min="12" max="13" width="5.5" bestFit="1" customWidth="1"/>
    <col min="14" max="14" width="17.125" bestFit="1" customWidth="1"/>
    <col min="15" max="15" width="9.375" bestFit="1" customWidth="1"/>
    <col min="16" max="16" width="4.75" bestFit="1" customWidth="1"/>
    <col min="17" max="17" width="2.375" bestFit="1" customWidth="1"/>
    <col min="18" max="18" width="20.125" bestFit="1" customWidth="1"/>
    <col min="19" max="19" width="24.125" bestFit="1" customWidth="1"/>
    <col min="20" max="20" width="19.625" bestFit="1" customWidth="1"/>
    <col min="21" max="21" width="22.5" bestFit="1" customWidth="1"/>
    <col min="22" max="22" width="14.25" bestFit="1" customWidth="1"/>
    <col min="23" max="23" width="14.75" bestFit="1" customWidth="1"/>
    <col min="24" max="24" width="18.75" bestFit="1" customWidth="1"/>
    <col min="25" max="25" width="14.25" bestFit="1" customWidth="1"/>
    <col min="26" max="26" width="14.75" bestFit="1" customWidth="1"/>
    <col min="27" max="27" width="18.75" bestFit="1" customWidth="1"/>
    <col min="28" max="28" width="14.25" bestFit="1" customWidth="1"/>
    <col min="29" max="29" width="14.75" bestFit="1" customWidth="1"/>
    <col min="30" max="30" width="18.75" bestFit="1" customWidth="1"/>
    <col min="31" max="31" width="14.25" bestFit="1" customWidth="1"/>
    <col min="32" max="32" width="14.75" bestFit="1" customWidth="1"/>
    <col min="33" max="33" width="18.75" bestFit="1" customWidth="1"/>
    <col min="34" max="34" width="14.25" bestFit="1" customWidth="1"/>
    <col min="35" max="35" width="14.75" bestFit="1" customWidth="1"/>
    <col min="36" max="36" width="18.75" bestFit="1" customWidth="1"/>
    <col min="37" max="37" width="14.25" bestFit="1" customWidth="1"/>
    <col min="38" max="38" width="14.75" bestFit="1" customWidth="1"/>
    <col min="39" max="39" width="18.75" bestFit="1" customWidth="1"/>
    <col min="40" max="40" width="14.25" bestFit="1" customWidth="1"/>
    <col min="41" max="41" width="14.75" bestFit="1" customWidth="1"/>
    <col min="42" max="42" width="18.75" bestFit="1" customWidth="1"/>
    <col min="43" max="43" width="14.25" bestFit="1" customWidth="1"/>
    <col min="44" max="44" width="14.75" bestFit="1" customWidth="1"/>
    <col min="45" max="45" width="18.75" bestFit="1" customWidth="1"/>
    <col min="46" max="46" width="14.25" bestFit="1" customWidth="1"/>
    <col min="47" max="47" width="20.125" bestFit="1" customWidth="1"/>
    <col min="48" max="48" width="24.125" bestFit="1" customWidth="1"/>
    <col min="49" max="49" width="19.625" bestFit="1" customWidth="1"/>
    <col min="50" max="50" width="18.75" bestFit="1" customWidth="1"/>
    <col min="51" max="51" width="22.75" bestFit="1" customWidth="1"/>
    <col min="52" max="52" width="18.25" bestFit="1" customWidth="1"/>
    <col min="53" max="53" width="20.125" bestFit="1" customWidth="1"/>
    <col min="54" max="54" width="24.125" bestFit="1" customWidth="1"/>
    <col min="55" max="55" width="19.625" bestFit="1" customWidth="1"/>
    <col min="56" max="56" width="20.125" bestFit="1" customWidth="1"/>
    <col min="57" max="57" width="24.125" bestFit="1" customWidth="1"/>
    <col min="58" max="58" width="19.625" bestFit="1" customWidth="1"/>
    <col min="59" max="59" width="20.125" bestFit="1" customWidth="1"/>
    <col min="60" max="60" width="24.125" bestFit="1" customWidth="1"/>
    <col min="61" max="61" width="19.625" bestFit="1" customWidth="1"/>
    <col min="62" max="62" width="14.75" bestFit="1" customWidth="1"/>
    <col min="63" max="63" width="18.75" bestFit="1" customWidth="1"/>
    <col min="64" max="64" width="14.25" bestFit="1" customWidth="1"/>
    <col min="65" max="65" width="14.75" bestFit="1" customWidth="1"/>
    <col min="66" max="66" width="18.75" bestFit="1" customWidth="1"/>
    <col min="67" max="67" width="14.25" bestFit="1" customWidth="1"/>
    <col min="68" max="68" width="14.75" bestFit="1" customWidth="1"/>
    <col min="69" max="69" width="18.75" bestFit="1" customWidth="1"/>
    <col min="70" max="70" width="14.25" bestFit="1" customWidth="1"/>
    <col min="71" max="71" width="21.625" bestFit="1" customWidth="1"/>
    <col min="72" max="72" width="25.5" bestFit="1" customWidth="1"/>
    <col min="73" max="73" width="21" bestFit="1" customWidth="1"/>
    <col min="74" max="74" width="14.75" bestFit="1" customWidth="1"/>
    <col min="75" max="75" width="18.75" bestFit="1" customWidth="1"/>
    <col min="76" max="76" width="14.25" bestFit="1" customWidth="1"/>
    <col min="77" max="77" width="21.625" bestFit="1" customWidth="1"/>
    <col min="78" max="78" width="25.5" bestFit="1" customWidth="1"/>
    <col min="79" max="79" width="21" bestFit="1" customWidth="1"/>
    <col min="80" max="80" width="14.75" bestFit="1" customWidth="1"/>
    <col min="81" max="81" width="18.75" bestFit="1" customWidth="1"/>
    <col min="82" max="82" width="14.25" bestFit="1" customWidth="1"/>
    <col min="83" max="83" width="14.75" bestFit="1" customWidth="1"/>
    <col min="84" max="84" width="18.75" bestFit="1" customWidth="1"/>
    <col min="85" max="85" width="14.25" bestFit="1" customWidth="1"/>
    <col min="86" max="86" width="21.625" bestFit="1" customWidth="1"/>
    <col min="87" max="87" width="25.5" bestFit="1" customWidth="1"/>
    <col min="88" max="88" width="21" bestFit="1" customWidth="1"/>
    <col min="89" max="89" width="18.25" bestFit="1" customWidth="1"/>
    <col min="90" max="90" width="22.25" bestFit="1" customWidth="1"/>
    <col min="91" max="91" width="17.75" bestFit="1" customWidth="1"/>
    <col min="92" max="92" width="20.375" bestFit="1" customWidth="1"/>
    <col min="93" max="93" width="24.375" bestFit="1" customWidth="1"/>
    <col min="94" max="94" width="19.875" bestFit="1" customWidth="1"/>
    <col min="95" max="95" width="20.125" bestFit="1" customWidth="1"/>
    <col min="96" max="96" width="24.125" bestFit="1" customWidth="1"/>
    <col min="97" max="97" width="19.625" bestFit="1" customWidth="1"/>
  </cols>
  <sheetData>
    <row r="1" spans="1:21" x14ac:dyDescent="0.2">
      <c r="A1" s="3" t="s">
        <v>65</v>
      </c>
      <c r="B1" t="s">
        <v>59</v>
      </c>
      <c r="H1" s="65"/>
      <c r="I1" s="65"/>
      <c r="J1" s="65"/>
    </row>
    <row r="2" spans="1:21" x14ac:dyDescent="0.2">
      <c r="A2" s="3" t="s">
        <v>66</v>
      </c>
      <c r="B2" t="s">
        <v>59</v>
      </c>
      <c r="G2" s="7" t="s">
        <v>68</v>
      </c>
      <c r="H2" s="65">
        <f>GETPIVOTDATA("Max. de Points",$A$7,"Résultat","Gagnant")</f>
        <v>200</v>
      </c>
      <c r="I2" s="65"/>
      <c r="J2" s="65"/>
      <c r="K2" t="s">
        <v>159</v>
      </c>
    </row>
    <row r="3" spans="1:21" x14ac:dyDescent="0.2">
      <c r="A3" s="3" t="s">
        <v>67</v>
      </c>
      <c r="B3" t="s">
        <v>59</v>
      </c>
      <c r="G3" s="7" t="s">
        <v>71</v>
      </c>
      <c r="H3" s="65">
        <f>GETPIVOTDATA("Min. de Points",$A$7,"Résultat","Perdant")</f>
        <v>-12.1</v>
      </c>
      <c r="I3" s="65"/>
      <c r="J3" s="65"/>
      <c r="K3" t="s">
        <v>160</v>
      </c>
    </row>
    <row r="4" spans="1:21" x14ac:dyDescent="0.2">
      <c r="A4" s="3" t="s">
        <v>1</v>
      </c>
      <c r="B4" t="s">
        <v>59</v>
      </c>
      <c r="G4" s="7" t="s">
        <v>69</v>
      </c>
      <c r="H4" s="65">
        <f>GETPIVOTDATA("Moyenne de Points",$A$7,"Résultat","Gagnant")</f>
        <v>24.245945945945948</v>
      </c>
      <c r="I4" s="65">
        <f>H4</f>
        <v>24.245945945945948</v>
      </c>
      <c r="J4" s="151">
        <f>I4/I5</f>
        <v>2.4213390127287404</v>
      </c>
    </row>
    <row r="5" spans="1:21" x14ac:dyDescent="0.2">
      <c r="A5" s="3" t="s">
        <v>106</v>
      </c>
      <c r="B5" t="s">
        <v>59</v>
      </c>
      <c r="G5" s="7" t="s">
        <v>70</v>
      </c>
      <c r="H5" s="65">
        <f>GETPIVOTDATA("Moyenne de Points",$A$7,"Résultat","Perdant")</f>
        <v>-10.013445378151262</v>
      </c>
      <c r="I5" s="65">
        <f>ABS(H5)</f>
        <v>10.013445378151262</v>
      </c>
      <c r="J5" s="151"/>
    </row>
    <row r="7" spans="1:21" x14ac:dyDescent="0.2">
      <c r="B7" s="3" t="s">
        <v>47</v>
      </c>
    </row>
    <row r="8" spans="1:21" x14ac:dyDescent="0.2">
      <c r="B8" t="s">
        <v>55</v>
      </c>
      <c r="F8" t="s">
        <v>54</v>
      </c>
      <c r="J8" t="s">
        <v>56</v>
      </c>
      <c r="N8" t="s">
        <v>48</v>
      </c>
      <c r="R8" t="s">
        <v>72</v>
      </c>
      <c r="S8" t="s">
        <v>73</v>
      </c>
      <c r="T8" t="s">
        <v>74</v>
      </c>
      <c r="U8" t="s">
        <v>158</v>
      </c>
    </row>
    <row r="9" spans="1:21" x14ac:dyDescent="0.2">
      <c r="A9" s="3" t="s">
        <v>44</v>
      </c>
      <c r="B9" t="s">
        <v>51</v>
      </c>
      <c r="C9" t="s">
        <v>52</v>
      </c>
      <c r="D9" t="s">
        <v>250</v>
      </c>
      <c r="F9" t="s">
        <v>51</v>
      </c>
      <c r="G9" t="s">
        <v>52</v>
      </c>
      <c r="H9" t="s">
        <v>250</v>
      </c>
      <c r="J9" t="s">
        <v>51</v>
      </c>
      <c r="K9" t="s">
        <v>52</v>
      </c>
      <c r="L9" t="s">
        <v>250</v>
      </c>
      <c r="N9" t="s">
        <v>51</v>
      </c>
      <c r="O9" t="s">
        <v>52</v>
      </c>
      <c r="P9" t="s">
        <v>250</v>
      </c>
    </row>
    <row r="10" spans="1:21" x14ac:dyDescent="0.2">
      <c r="A10" s="11" t="s">
        <v>175</v>
      </c>
      <c r="B10" s="65">
        <v>51.7</v>
      </c>
      <c r="C10" s="65">
        <v>-10.1</v>
      </c>
      <c r="D10" s="65"/>
      <c r="E10" s="65"/>
      <c r="F10" s="65">
        <v>26.3</v>
      </c>
      <c r="G10" s="65">
        <v>-10.166666666666666</v>
      </c>
      <c r="H10" s="65"/>
      <c r="I10" s="65"/>
      <c r="J10" s="65">
        <v>0.9</v>
      </c>
      <c r="K10" s="65">
        <v>-10.3</v>
      </c>
      <c r="L10" s="65"/>
      <c r="M10" s="65"/>
      <c r="N10" s="5">
        <v>52.6</v>
      </c>
      <c r="O10" s="5">
        <v>-30.5</v>
      </c>
      <c r="P10" s="5"/>
      <c r="Q10" s="5"/>
      <c r="R10" s="65">
        <v>51.7</v>
      </c>
      <c r="S10" s="65">
        <v>4.419999999999999</v>
      </c>
      <c r="T10" s="65">
        <v>-10.3</v>
      </c>
      <c r="U10" s="5">
        <v>22.099999999999994</v>
      </c>
    </row>
    <row r="11" spans="1:21" x14ac:dyDescent="0.2">
      <c r="A11" s="11" t="s">
        <v>177</v>
      </c>
      <c r="B11" s="65">
        <v>100.6</v>
      </c>
      <c r="C11" s="65">
        <v>-10</v>
      </c>
      <c r="D11" s="65"/>
      <c r="E11" s="65"/>
      <c r="F11" s="65">
        <v>39.324999999999996</v>
      </c>
      <c r="G11" s="65">
        <v>-10.213333333333333</v>
      </c>
      <c r="H11" s="65"/>
      <c r="I11" s="65"/>
      <c r="J11" s="65">
        <v>0.9</v>
      </c>
      <c r="K11" s="65">
        <v>-10.3</v>
      </c>
      <c r="L11" s="65"/>
      <c r="M11" s="65"/>
      <c r="N11" s="5">
        <v>157.29999999999998</v>
      </c>
      <c r="O11" s="5">
        <v>-153.19999999999999</v>
      </c>
      <c r="P11" s="5"/>
      <c r="Q11" s="5"/>
      <c r="R11" s="65">
        <v>100.6</v>
      </c>
      <c r="S11" s="65">
        <v>0.21578947368421078</v>
      </c>
      <c r="T11" s="65">
        <v>-10.3</v>
      </c>
      <c r="U11" s="5">
        <v>4.100000000000005</v>
      </c>
    </row>
    <row r="12" spans="1:21" x14ac:dyDescent="0.2">
      <c r="A12" s="11" t="s">
        <v>180</v>
      </c>
      <c r="B12" s="65">
        <v>200</v>
      </c>
      <c r="C12" s="65">
        <v>-4</v>
      </c>
      <c r="D12" s="65"/>
      <c r="E12" s="65"/>
      <c r="F12" s="65">
        <v>200</v>
      </c>
      <c r="G12" s="65">
        <v>-9.868421052631577</v>
      </c>
      <c r="H12" s="65"/>
      <c r="I12" s="65"/>
      <c r="J12" s="65">
        <v>200</v>
      </c>
      <c r="K12" s="65">
        <v>-11.2</v>
      </c>
      <c r="L12" s="65"/>
      <c r="M12" s="65"/>
      <c r="N12" s="5">
        <v>200</v>
      </c>
      <c r="O12" s="5">
        <v>-187.49999999999997</v>
      </c>
      <c r="P12" s="5"/>
      <c r="Q12" s="5"/>
      <c r="R12" s="65">
        <v>200</v>
      </c>
      <c r="S12" s="65">
        <v>0.62500000000000211</v>
      </c>
      <c r="T12" s="65">
        <v>-11.2</v>
      </c>
      <c r="U12" s="5">
        <v>12.500000000000043</v>
      </c>
    </row>
    <row r="13" spans="1:21" x14ac:dyDescent="0.2">
      <c r="A13" s="11" t="s">
        <v>181</v>
      </c>
      <c r="B13" s="65">
        <v>121.1</v>
      </c>
      <c r="C13" s="65">
        <v>-9</v>
      </c>
      <c r="D13" s="65"/>
      <c r="E13" s="65"/>
      <c r="F13" s="65">
        <v>41.033333333333331</v>
      </c>
      <c r="G13" s="65">
        <v>-9.9777777777777779</v>
      </c>
      <c r="H13" s="65"/>
      <c r="I13" s="65"/>
      <c r="J13" s="65">
        <v>0.7</v>
      </c>
      <c r="K13" s="65">
        <v>-11.2</v>
      </c>
      <c r="L13" s="65"/>
      <c r="M13" s="65"/>
      <c r="N13" s="5">
        <v>123.1</v>
      </c>
      <c r="O13" s="5">
        <v>-89.8</v>
      </c>
      <c r="P13" s="5"/>
      <c r="Q13" s="5"/>
      <c r="R13" s="65">
        <v>121.1</v>
      </c>
      <c r="S13" s="65">
        <v>2.7749999999999986</v>
      </c>
      <c r="T13" s="65">
        <v>-11.2</v>
      </c>
      <c r="U13" s="5">
        <v>33.299999999999983</v>
      </c>
    </row>
    <row r="14" spans="1:21" x14ac:dyDescent="0.2">
      <c r="A14" s="11" t="s">
        <v>182</v>
      </c>
      <c r="B14" s="65">
        <v>30.8</v>
      </c>
      <c r="C14" s="65"/>
      <c r="D14" s="65"/>
      <c r="E14" s="65"/>
      <c r="F14" s="65">
        <v>10.933333333333332</v>
      </c>
      <c r="G14" s="65"/>
      <c r="H14" s="65"/>
      <c r="I14" s="65"/>
      <c r="J14" s="65">
        <v>1</v>
      </c>
      <c r="K14" s="65"/>
      <c r="L14" s="65"/>
      <c r="M14" s="65"/>
      <c r="N14" s="5">
        <v>32.799999999999997</v>
      </c>
      <c r="O14" s="5"/>
      <c r="P14" s="5"/>
      <c r="Q14" s="5"/>
      <c r="R14" s="65">
        <v>30.8</v>
      </c>
      <c r="S14" s="65">
        <v>10.933333333333332</v>
      </c>
      <c r="T14" s="65">
        <v>1</v>
      </c>
      <c r="U14" s="5">
        <v>32.799999999999997</v>
      </c>
    </row>
    <row r="15" spans="1:21" x14ac:dyDescent="0.2">
      <c r="A15" s="11" t="s">
        <v>259</v>
      </c>
      <c r="B15" s="65">
        <v>20.8</v>
      </c>
      <c r="C15" s="65">
        <v>-9.1</v>
      </c>
      <c r="D15" s="65"/>
      <c r="E15" s="65"/>
      <c r="F15" s="65">
        <v>7.7</v>
      </c>
      <c r="G15" s="65">
        <v>-10.118749999999999</v>
      </c>
      <c r="H15" s="65"/>
      <c r="I15" s="65"/>
      <c r="J15" s="65">
        <v>1</v>
      </c>
      <c r="K15" s="65">
        <v>-11.3</v>
      </c>
      <c r="L15" s="65"/>
      <c r="M15" s="65"/>
      <c r="N15" s="5">
        <v>23.1</v>
      </c>
      <c r="O15" s="5">
        <v>-161.89999999999998</v>
      </c>
      <c r="P15" s="5"/>
      <c r="Q15" s="5"/>
      <c r="R15" s="65">
        <v>20.8</v>
      </c>
      <c r="S15" s="65">
        <v>-7.3052631578947356</v>
      </c>
      <c r="T15" s="65">
        <v>-11.3</v>
      </c>
      <c r="U15" s="5">
        <v>-138.79999999999998</v>
      </c>
    </row>
    <row r="16" spans="1:21" x14ac:dyDescent="0.2">
      <c r="A16" s="11" t="s">
        <v>260</v>
      </c>
      <c r="B16" s="65">
        <v>1.2</v>
      </c>
      <c r="C16" s="65">
        <v>-10</v>
      </c>
      <c r="D16" s="65"/>
      <c r="E16" s="65"/>
      <c r="F16" s="65">
        <v>1.2</v>
      </c>
      <c r="G16" s="65">
        <v>-10.723076923076924</v>
      </c>
      <c r="H16" s="65"/>
      <c r="I16" s="65"/>
      <c r="J16" s="65">
        <v>1.2</v>
      </c>
      <c r="K16" s="65">
        <v>-12.1</v>
      </c>
      <c r="L16" s="65"/>
      <c r="M16" s="65"/>
      <c r="N16" s="5">
        <v>1.2</v>
      </c>
      <c r="O16" s="5">
        <v>-139.4</v>
      </c>
      <c r="P16" s="5"/>
      <c r="Q16" s="5"/>
      <c r="R16" s="65">
        <v>1.2</v>
      </c>
      <c r="S16" s="65">
        <v>-9.8714285714285701</v>
      </c>
      <c r="T16" s="65">
        <v>-12.1</v>
      </c>
      <c r="U16" s="5">
        <v>-138.19999999999999</v>
      </c>
    </row>
    <row r="17" spans="1:21" x14ac:dyDescent="0.2">
      <c r="A17" s="11" t="s">
        <v>261</v>
      </c>
      <c r="B17" s="65">
        <v>40.1</v>
      </c>
      <c r="C17" s="65">
        <v>-10.1</v>
      </c>
      <c r="D17" s="65"/>
      <c r="E17" s="65"/>
      <c r="F17" s="65">
        <v>20.400000000000002</v>
      </c>
      <c r="G17" s="65">
        <v>-10.45</v>
      </c>
      <c r="H17" s="65"/>
      <c r="I17" s="65"/>
      <c r="J17" s="65">
        <v>0.7</v>
      </c>
      <c r="K17" s="65">
        <v>-11.1</v>
      </c>
      <c r="L17" s="65"/>
      <c r="M17" s="65"/>
      <c r="N17" s="5">
        <v>40.800000000000004</v>
      </c>
      <c r="O17" s="5">
        <v>-41.8</v>
      </c>
      <c r="P17" s="5"/>
      <c r="Q17" s="5"/>
      <c r="R17" s="65">
        <v>40.1</v>
      </c>
      <c r="S17" s="65">
        <v>-0.16666666666666549</v>
      </c>
      <c r="T17" s="65">
        <v>-11.1</v>
      </c>
      <c r="U17" s="5">
        <v>-0.99999999999999289</v>
      </c>
    </row>
    <row r="18" spans="1:21" x14ac:dyDescent="0.2">
      <c r="A18" s="11" t="s">
        <v>262</v>
      </c>
      <c r="B18" s="65">
        <v>1.2</v>
      </c>
      <c r="C18" s="65">
        <v>-9.1999999999999993</v>
      </c>
      <c r="D18" s="65"/>
      <c r="E18" s="65"/>
      <c r="F18" s="65">
        <v>0.85714285714285698</v>
      </c>
      <c r="G18" s="65">
        <v>-10.041666666666668</v>
      </c>
      <c r="H18" s="65"/>
      <c r="I18" s="65"/>
      <c r="J18" s="65">
        <v>0.6</v>
      </c>
      <c r="K18" s="65">
        <v>-10.199999999999999</v>
      </c>
      <c r="L18" s="65"/>
      <c r="M18" s="65"/>
      <c r="N18" s="5">
        <v>5.9999999999999991</v>
      </c>
      <c r="O18" s="5">
        <v>-120.50000000000001</v>
      </c>
      <c r="P18" s="5"/>
      <c r="Q18" s="5"/>
      <c r="R18" s="65">
        <v>1.2</v>
      </c>
      <c r="S18" s="65">
        <v>-6.026315789473685</v>
      </c>
      <c r="T18" s="65">
        <v>-10.199999999999999</v>
      </c>
      <c r="U18" s="5">
        <v>-114.50000000000001</v>
      </c>
    </row>
    <row r="19" spans="1:21" x14ac:dyDescent="0.2">
      <c r="A19" s="11" t="s">
        <v>263</v>
      </c>
      <c r="B19" s="65">
        <v>109.7</v>
      </c>
      <c r="C19" s="65">
        <v>-6.1</v>
      </c>
      <c r="D19" s="65"/>
      <c r="E19" s="65"/>
      <c r="F19" s="65">
        <v>32.075000000000003</v>
      </c>
      <c r="G19" s="65">
        <v>-9.926086956521738</v>
      </c>
      <c r="H19" s="65"/>
      <c r="I19" s="65"/>
      <c r="J19" s="65">
        <v>1.8</v>
      </c>
      <c r="K19" s="65">
        <v>-11.1</v>
      </c>
      <c r="L19" s="65"/>
      <c r="M19" s="65"/>
      <c r="N19" s="5">
        <v>128.30000000000001</v>
      </c>
      <c r="O19" s="5">
        <v>-228.29999999999995</v>
      </c>
      <c r="P19" s="5"/>
      <c r="Q19" s="5"/>
      <c r="R19" s="65">
        <v>109.7</v>
      </c>
      <c r="S19" s="65">
        <v>-3.7037037037037028</v>
      </c>
      <c r="T19" s="65">
        <v>-11.1</v>
      </c>
      <c r="U19" s="5">
        <v>-99.999999999999972</v>
      </c>
    </row>
    <row r="20" spans="1:21" x14ac:dyDescent="0.2">
      <c r="A20" s="11" t="s">
        <v>251</v>
      </c>
      <c r="B20" s="65">
        <v>1.2</v>
      </c>
      <c r="C20" s="65"/>
      <c r="D20" s="65"/>
      <c r="E20" s="65"/>
      <c r="F20" s="65">
        <v>1.2</v>
      </c>
      <c r="G20" s="65"/>
      <c r="H20" s="65"/>
      <c r="I20" s="65"/>
      <c r="J20" s="65">
        <v>1.2</v>
      </c>
      <c r="K20" s="65"/>
      <c r="L20" s="65"/>
      <c r="M20" s="65"/>
      <c r="N20" s="5">
        <v>1.2</v>
      </c>
      <c r="O20" s="5"/>
      <c r="P20" s="5"/>
      <c r="Q20" s="5"/>
      <c r="R20" s="65">
        <v>1.2</v>
      </c>
      <c r="S20" s="65">
        <v>1.2</v>
      </c>
      <c r="T20" s="65">
        <v>1.2</v>
      </c>
      <c r="U20" s="5">
        <v>1.2</v>
      </c>
    </row>
    <row r="21" spans="1:21" x14ac:dyDescent="0.2">
      <c r="A21" s="11" t="s">
        <v>252</v>
      </c>
      <c r="B21" s="65">
        <v>71.8</v>
      </c>
      <c r="C21" s="65">
        <v>-1</v>
      </c>
      <c r="D21" s="65">
        <v>0</v>
      </c>
      <c r="E21" s="65"/>
      <c r="F21" s="65">
        <v>24.366666666666664</v>
      </c>
      <c r="G21" s="65">
        <v>-7.74</v>
      </c>
      <c r="H21" s="65">
        <v>0</v>
      </c>
      <c r="I21" s="65"/>
      <c r="J21" s="65">
        <v>0.6</v>
      </c>
      <c r="K21" s="65">
        <v>-10.3</v>
      </c>
      <c r="L21" s="65">
        <v>0</v>
      </c>
      <c r="M21" s="65"/>
      <c r="N21" s="5">
        <v>73.099999999999994</v>
      </c>
      <c r="O21" s="5">
        <v>-38.700000000000003</v>
      </c>
      <c r="P21" s="5">
        <v>0</v>
      </c>
      <c r="Q21" s="5"/>
      <c r="R21" s="65">
        <v>71.8</v>
      </c>
      <c r="S21" s="65">
        <v>3.8222222222222211</v>
      </c>
      <c r="T21" s="65">
        <v>-10.3</v>
      </c>
      <c r="U21" s="5">
        <v>34.399999999999991</v>
      </c>
    </row>
    <row r="22" spans="1:21" x14ac:dyDescent="0.2">
      <c r="A22" s="11" t="s">
        <v>236</v>
      </c>
      <c r="B22" s="65"/>
      <c r="C22" s="65"/>
      <c r="D22" s="65"/>
      <c r="E22" s="65">
        <v>0</v>
      </c>
      <c r="F22" s="65"/>
      <c r="G22" s="65"/>
      <c r="H22" s="65"/>
      <c r="I22" s="65" t="e">
        <v>#DIV/0!</v>
      </c>
      <c r="J22" s="65"/>
      <c r="K22" s="65"/>
      <c r="L22" s="65"/>
      <c r="M22" s="65">
        <v>0</v>
      </c>
      <c r="N22" s="5"/>
      <c r="O22" s="5"/>
      <c r="P22" s="5"/>
      <c r="Q22" s="5">
        <v>0</v>
      </c>
      <c r="R22" s="65">
        <v>0</v>
      </c>
      <c r="S22" s="65" t="e">
        <v>#DIV/0!</v>
      </c>
      <c r="T22" s="65">
        <v>0</v>
      </c>
      <c r="U22" s="5">
        <v>0</v>
      </c>
    </row>
    <row r="23" spans="1:21" x14ac:dyDescent="0.2">
      <c r="A23" s="11" t="s">
        <v>253</v>
      </c>
      <c r="B23" s="65">
        <v>55.7</v>
      </c>
      <c r="C23" s="65"/>
      <c r="D23" s="65"/>
      <c r="E23" s="65"/>
      <c r="F23" s="65">
        <v>28.3</v>
      </c>
      <c r="G23" s="65"/>
      <c r="H23" s="65"/>
      <c r="I23" s="65"/>
      <c r="J23" s="65">
        <v>0.9</v>
      </c>
      <c r="K23" s="65"/>
      <c r="L23" s="65"/>
      <c r="M23" s="65"/>
      <c r="N23" s="5">
        <v>56.6</v>
      </c>
      <c r="O23" s="5"/>
      <c r="P23" s="5"/>
      <c r="Q23" s="5"/>
      <c r="R23" s="65">
        <v>55.7</v>
      </c>
      <c r="S23" s="65">
        <v>28.3</v>
      </c>
      <c r="T23" s="65">
        <v>0.9</v>
      </c>
      <c r="U23" s="5">
        <v>56.6</v>
      </c>
    </row>
    <row r="24" spans="1:21" x14ac:dyDescent="0.2">
      <c r="A24" s="11" t="s">
        <v>264</v>
      </c>
      <c r="B24" s="65">
        <v>1</v>
      </c>
      <c r="C24" s="65"/>
      <c r="D24" s="65"/>
      <c r="E24" s="65"/>
      <c r="F24" s="65">
        <v>1</v>
      </c>
      <c r="G24" s="65"/>
      <c r="H24" s="65"/>
      <c r="I24" s="65"/>
      <c r="J24" s="65">
        <v>1</v>
      </c>
      <c r="K24" s="65"/>
      <c r="L24" s="65"/>
      <c r="M24" s="65"/>
      <c r="N24" s="5">
        <v>1</v>
      </c>
      <c r="O24" s="5"/>
      <c r="P24" s="5"/>
      <c r="Q24" s="5"/>
      <c r="R24" s="65">
        <v>1</v>
      </c>
      <c r="S24" s="65">
        <v>1</v>
      </c>
      <c r="T24" s="65">
        <v>1</v>
      </c>
      <c r="U24" s="5">
        <v>1</v>
      </c>
    </row>
    <row r="25" spans="1:21" x14ac:dyDescent="0.2">
      <c r="A25" s="11" t="s">
        <v>45</v>
      </c>
      <c r="B25" s="65">
        <v>200</v>
      </c>
      <c r="C25" s="65">
        <v>-1</v>
      </c>
      <c r="D25" s="65">
        <v>0</v>
      </c>
      <c r="E25" s="65">
        <v>0</v>
      </c>
      <c r="F25" s="65">
        <v>24.245945945945948</v>
      </c>
      <c r="G25" s="65">
        <v>-10.013445378151262</v>
      </c>
      <c r="H25" s="65">
        <v>0</v>
      </c>
      <c r="I25" s="65" t="e">
        <v>#DIV/0!</v>
      </c>
      <c r="J25" s="65">
        <v>0.6</v>
      </c>
      <c r="K25" s="65">
        <v>-12.1</v>
      </c>
      <c r="L25" s="65">
        <v>0</v>
      </c>
      <c r="M25" s="65">
        <v>0</v>
      </c>
      <c r="N25" s="5">
        <v>897.10000000000014</v>
      </c>
      <c r="O25" s="5">
        <v>-1191.6000000000001</v>
      </c>
      <c r="P25" s="5">
        <v>0</v>
      </c>
      <c r="Q25" s="5">
        <v>0</v>
      </c>
      <c r="R25" s="65">
        <v>200</v>
      </c>
      <c r="S25" s="65">
        <v>-1.8757961783439487</v>
      </c>
      <c r="T25" s="65">
        <v>-12.1</v>
      </c>
      <c r="U25" s="5">
        <v>-294.49999999999994</v>
      </c>
    </row>
  </sheetData>
  <mergeCells count="1">
    <mergeCell ref="J4:J5"/>
  </mergeCells>
  <pageMargins left="0.7" right="0.7" top="0.75" bottom="0.75" header="0.3" footer="0.3"/>
  <pageSetup paperSize="9" orientation="portrait" horizontalDpi="1200" verticalDpi="1200"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9DC8D03-06E3-4A5D-B6DE-455F4A62FB63}">
  <sheetPr codeName="Feuil11"/>
  <dimension ref="A1:H24"/>
  <sheetViews>
    <sheetView workbookViewId="0">
      <selection activeCell="T26" sqref="T26"/>
    </sheetView>
  </sheetViews>
  <sheetFormatPr baseColWidth="10" defaultRowHeight="14.25" x14ac:dyDescent="0.2"/>
  <cols>
    <col min="1" max="1" width="21.625" bestFit="1" customWidth="1"/>
    <col min="2" max="2" width="24.375" bestFit="1" customWidth="1"/>
    <col min="3" max="3" width="9.375" bestFit="1" customWidth="1"/>
    <col min="4" max="4" width="4.75" bestFit="1" customWidth="1"/>
    <col min="5" max="5" width="2.375" bestFit="1" customWidth="1"/>
    <col min="6" max="6" width="16.5" bestFit="1" customWidth="1"/>
  </cols>
  <sheetData>
    <row r="1" spans="1:8" x14ac:dyDescent="0.2">
      <c r="A1" s="3" t="s">
        <v>1</v>
      </c>
      <c r="B1" t="s">
        <v>59</v>
      </c>
    </row>
    <row r="2" spans="1:8" x14ac:dyDescent="0.2">
      <c r="A2" s="3" t="s">
        <v>65</v>
      </c>
      <c r="B2" t="s">
        <v>59</v>
      </c>
      <c r="F2" s="7" t="s">
        <v>60</v>
      </c>
      <c r="G2">
        <f>GETPIVOTDATA("Points",$A$6,"Résultat","Gagnant")</f>
        <v>897.10000000000014</v>
      </c>
      <c r="H2" s="152">
        <f>IFERROR(ROUND(G2/ABS(G3),1),"")</f>
        <v>0.8</v>
      </c>
    </row>
    <row r="3" spans="1:8" x14ac:dyDescent="0.2">
      <c r="A3" s="3" t="s">
        <v>66</v>
      </c>
      <c r="B3" t="s">
        <v>59</v>
      </c>
      <c r="F3" s="7" t="s">
        <v>61</v>
      </c>
      <c r="G3">
        <f>GETPIVOTDATA("Points",$A$6,"Résultat","Perdant")</f>
        <v>-1191.5999999999997</v>
      </c>
      <c r="H3" s="152"/>
    </row>
    <row r="4" spans="1:8" x14ac:dyDescent="0.2">
      <c r="A4" s="3" t="s">
        <v>106</v>
      </c>
      <c r="B4" t="s">
        <v>59</v>
      </c>
    </row>
    <row r="5" spans="1:8" x14ac:dyDescent="0.2">
      <c r="A5" s="3" t="s">
        <v>67</v>
      </c>
      <c r="B5" t="s">
        <v>59</v>
      </c>
    </row>
    <row r="7" spans="1:8" x14ac:dyDescent="0.2">
      <c r="A7" s="3" t="s">
        <v>48</v>
      </c>
      <c r="B7" s="3" t="s">
        <v>47</v>
      </c>
    </row>
    <row r="8" spans="1:8" x14ac:dyDescent="0.2">
      <c r="A8" s="3" t="s">
        <v>44</v>
      </c>
      <c r="B8" t="s">
        <v>51</v>
      </c>
      <c r="C8" t="s">
        <v>52</v>
      </c>
      <c r="D8" t="s">
        <v>250</v>
      </c>
      <c r="F8" t="s">
        <v>45</v>
      </c>
    </row>
    <row r="9" spans="1:8" x14ac:dyDescent="0.2">
      <c r="A9" s="11" t="s">
        <v>175</v>
      </c>
      <c r="B9" s="5">
        <v>52.6</v>
      </c>
      <c r="C9" s="5">
        <v>-30.5</v>
      </c>
      <c r="D9" s="5"/>
      <c r="E9" s="5"/>
      <c r="F9" s="5">
        <v>22.1</v>
      </c>
    </row>
    <row r="10" spans="1:8" x14ac:dyDescent="0.2">
      <c r="A10" s="11" t="s">
        <v>177</v>
      </c>
      <c r="B10" s="5">
        <v>157.29999999999998</v>
      </c>
      <c r="C10" s="5">
        <v>-153.19999999999999</v>
      </c>
      <c r="D10" s="5"/>
      <c r="E10" s="5"/>
      <c r="F10" s="5">
        <v>4.0999999999999943</v>
      </c>
    </row>
    <row r="11" spans="1:8" x14ac:dyDescent="0.2">
      <c r="A11" s="11" t="s">
        <v>180</v>
      </c>
      <c r="B11" s="5">
        <v>200</v>
      </c>
      <c r="C11" s="5">
        <v>-187.49999999999997</v>
      </c>
      <c r="D11" s="5"/>
      <c r="E11" s="5"/>
      <c r="F11" s="5">
        <v>12.500000000000028</v>
      </c>
    </row>
    <row r="12" spans="1:8" x14ac:dyDescent="0.2">
      <c r="A12" s="11" t="s">
        <v>181</v>
      </c>
      <c r="B12" s="5">
        <v>123.1</v>
      </c>
      <c r="C12" s="5">
        <v>-89.8</v>
      </c>
      <c r="D12" s="5"/>
      <c r="E12" s="5"/>
      <c r="F12" s="5">
        <v>33.299999999999997</v>
      </c>
    </row>
    <row r="13" spans="1:8" x14ac:dyDescent="0.2">
      <c r="A13" s="11" t="s">
        <v>182</v>
      </c>
      <c r="B13" s="5">
        <v>32.799999999999997</v>
      </c>
      <c r="C13" s="5"/>
      <c r="D13" s="5"/>
      <c r="E13" s="5"/>
      <c r="F13" s="5">
        <v>32.799999999999997</v>
      </c>
    </row>
    <row r="14" spans="1:8" x14ac:dyDescent="0.2">
      <c r="A14" s="11" t="s">
        <v>259</v>
      </c>
      <c r="B14" s="5">
        <v>23.1</v>
      </c>
      <c r="C14" s="5">
        <v>-161.89999999999998</v>
      </c>
      <c r="D14" s="5"/>
      <c r="E14" s="5"/>
      <c r="F14" s="5">
        <v>-138.79999999999998</v>
      </c>
    </row>
    <row r="15" spans="1:8" x14ac:dyDescent="0.2">
      <c r="A15" s="11" t="s">
        <v>260</v>
      </c>
      <c r="B15" s="5">
        <v>1.2</v>
      </c>
      <c r="C15" s="5">
        <v>-139.4</v>
      </c>
      <c r="D15" s="5"/>
      <c r="E15" s="5"/>
      <c r="F15" s="5">
        <v>-138.20000000000002</v>
      </c>
    </row>
    <row r="16" spans="1:8" x14ac:dyDescent="0.2">
      <c r="A16" s="11" t="s">
        <v>261</v>
      </c>
      <c r="B16" s="5">
        <v>40.800000000000004</v>
      </c>
      <c r="C16" s="5">
        <v>-41.8</v>
      </c>
      <c r="D16" s="5"/>
      <c r="E16" s="5"/>
      <c r="F16" s="5">
        <v>-0.99999999999999289</v>
      </c>
    </row>
    <row r="17" spans="1:6" x14ac:dyDescent="0.2">
      <c r="A17" s="11" t="s">
        <v>262</v>
      </c>
      <c r="B17" s="5">
        <v>5.9999999999999991</v>
      </c>
      <c r="C17" s="5">
        <v>-120.50000000000001</v>
      </c>
      <c r="D17" s="5"/>
      <c r="E17" s="5"/>
      <c r="F17" s="5">
        <v>-114.50000000000001</v>
      </c>
    </row>
    <row r="18" spans="1:6" x14ac:dyDescent="0.2">
      <c r="A18" s="11" t="s">
        <v>263</v>
      </c>
      <c r="B18" s="5">
        <v>128.30000000000001</v>
      </c>
      <c r="C18" s="5">
        <v>-228.29999999999995</v>
      </c>
      <c r="D18" s="5"/>
      <c r="E18" s="5"/>
      <c r="F18" s="5">
        <v>-99.999999999999943</v>
      </c>
    </row>
    <row r="19" spans="1:6" x14ac:dyDescent="0.2">
      <c r="A19" s="11" t="s">
        <v>251</v>
      </c>
      <c r="B19" s="5">
        <v>1.2</v>
      </c>
      <c r="C19" s="5"/>
      <c r="D19" s="5"/>
      <c r="E19" s="5"/>
      <c r="F19" s="5">
        <v>1.2</v>
      </c>
    </row>
    <row r="20" spans="1:6" x14ac:dyDescent="0.2">
      <c r="A20" s="11" t="s">
        <v>252</v>
      </c>
      <c r="B20" s="5">
        <v>73.099999999999994</v>
      </c>
      <c r="C20" s="5">
        <v>-38.700000000000003</v>
      </c>
      <c r="D20" s="5">
        <v>0</v>
      </c>
      <c r="E20" s="5"/>
      <c r="F20" s="5">
        <v>34.399999999999991</v>
      </c>
    </row>
    <row r="21" spans="1:6" x14ac:dyDescent="0.2">
      <c r="A21" s="11" t="s">
        <v>236</v>
      </c>
      <c r="B21" s="5"/>
      <c r="C21" s="5"/>
      <c r="D21" s="5"/>
      <c r="E21" s="5">
        <v>0</v>
      </c>
      <c r="F21" s="5">
        <v>0</v>
      </c>
    </row>
    <row r="22" spans="1:6" x14ac:dyDescent="0.2">
      <c r="A22" s="11" t="s">
        <v>253</v>
      </c>
      <c r="B22" s="5">
        <v>56.6</v>
      </c>
      <c r="C22" s="5"/>
      <c r="D22" s="5"/>
      <c r="E22" s="5"/>
      <c r="F22" s="5">
        <v>56.6</v>
      </c>
    </row>
    <row r="23" spans="1:6" x14ac:dyDescent="0.2">
      <c r="A23" s="11" t="s">
        <v>264</v>
      </c>
      <c r="B23" s="5">
        <v>1</v>
      </c>
      <c r="C23" s="5"/>
      <c r="D23" s="5"/>
      <c r="E23" s="5"/>
      <c r="F23" s="5">
        <v>1</v>
      </c>
    </row>
    <row r="24" spans="1:6" x14ac:dyDescent="0.2">
      <c r="A24" s="11" t="s">
        <v>45</v>
      </c>
      <c r="B24" s="5">
        <v>897.10000000000014</v>
      </c>
      <c r="C24" s="5">
        <v>-1191.5999999999997</v>
      </c>
      <c r="D24" s="5">
        <v>0</v>
      </c>
      <c r="E24" s="5">
        <v>0</v>
      </c>
      <c r="F24" s="5">
        <v>-294.49999999999994</v>
      </c>
    </row>
  </sheetData>
  <mergeCells count="1">
    <mergeCell ref="H2:H3"/>
  </mergeCells>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E006AA5-A136-44E9-8041-22251E1F4AB9}">
  <sheetPr codeName="Feuil13"/>
  <dimension ref="A1:L23"/>
  <sheetViews>
    <sheetView workbookViewId="0">
      <selection activeCell="I8" sqref="I8"/>
    </sheetView>
  </sheetViews>
  <sheetFormatPr baseColWidth="10" defaultRowHeight="14.25" x14ac:dyDescent="0.2"/>
  <cols>
    <col min="1" max="1" width="21.625" bestFit="1" customWidth="1"/>
    <col min="2" max="2" width="29.375" bestFit="1" customWidth="1"/>
    <col min="3" max="3" width="29.875" bestFit="1" customWidth="1"/>
    <col min="4" max="4" width="19.5" bestFit="1" customWidth="1"/>
    <col min="5" max="5" width="34" bestFit="1" customWidth="1"/>
    <col min="6" max="6" width="37.5" bestFit="1" customWidth="1"/>
    <col min="8" max="8" width="33.875" bestFit="1" customWidth="1"/>
    <col min="9" max="9" width="11" customWidth="1"/>
  </cols>
  <sheetData>
    <row r="1" spans="1:12" x14ac:dyDescent="0.2">
      <c r="A1" s="3" t="s">
        <v>65</v>
      </c>
      <c r="B1" t="s">
        <v>59</v>
      </c>
      <c r="H1" s="58" t="s">
        <v>91</v>
      </c>
      <c r="I1">
        <f>DATEDIF(GETPIVOTDATA("Min. de Horodatage ouverture",$A$1),GETPIVOTDATA("Max. de Horodatage ouverture",$A$1),"D")</f>
        <v>18</v>
      </c>
      <c r="K1" s="58" t="s">
        <v>95</v>
      </c>
      <c r="L1" s="58" t="s">
        <v>101</v>
      </c>
    </row>
    <row r="2" spans="1:12" x14ac:dyDescent="0.2">
      <c r="A2" s="3" t="s">
        <v>66</v>
      </c>
      <c r="B2" t="s">
        <v>59</v>
      </c>
      <c r="H2" s="58" t="s">
        <v>92</v>
      </c>
      <c r="I2">
        <f>GETPIVOTDATA("Nombre de Position",$A$1)</f>
        <v>157</v>
      </c>
      <c r="K2" t="s">
        <v>96</v>
      </c>
      <c r="L2" t="s">
        <v>102</v>
      </c>
    </row>
    <row r="3" spans="1:12" x14ac:dyDescent="0.2">
      <c r="A3" s="3" t="s">
        <v>67</v>
      </c>
      <c r="B3" t="s">
        <v>59</v>
      </c>
      <c r="H3" s="58" t="s">
        <v>94</v>
      </c>
      <c r="I3">
        <f>MATCH(GETPIVOTDATA("Min. de Horodatage ouverture",$A$1),Table_BDD[Horodatage ouverture],1)-1</f>
        <v>0</v>
      </c>
      <c r="K3" t="s">
        <v>97</v>
      </c>
      <c r="L3" t="s">
        <v>103</v>
      </c>
    </row>
    <row r="4" spans="1:12" x14ac:dyDescent="0.2">
      <c r="A4" s="3" t="s">
        <v>106</v>
      </c>
      <c r="B4" t="s">
        <v>59</v>
      </c>
      <c r="H4" s="58" t="s">
        <v>99</v>
      </c>
      <c r="I4" s="59">
        <f>_xlfn.MINIFS(Table_BDD[Equité début de journée],Table_BDD[Horodatage ouverture],GETPIVOTDATA("Min. de Horodatage ouverture",$A$1))</f>
        <v>1000</v>
      </c>
      <c r="J4" s="153">
        <f>(I5-I4)/I4</f>
        <v>-0.14424999999999999</v>
      </c>
    </row>
    <row r="5" spans="1:12" x14ac:dyDescent="0.2">
      <c r="A5" s="3" t="s">
        <v>1</v>
      </c>
      <c r="B5" t="s">
        <v>59</v>
      </c>
      <c r="H5" s="58" t="s">
        <v>100</v>
      </c>
      <c r="I5" s="59">
        <f>_xlfn.MAXIFS(Table_BDD[Equité fin de journée],Table_BDD[Horodatage ouverture],GETPIVOTDATA("Max. de Horodatage ouverture",'Général - calendrier dynamique'!$A$1))</f>
        <v>855.75</v>
      </c>
      <c r="J5" s="153"/>
    </row>
    <row r="7" spans="1:12" x14ac:dyDescent="0.2">
      <c r="A7" s="3" t="s">
        <v>44</v>
      </c>
      <c r="B7" t="s">
        <v>89</v>
      </c>
      <c r="C7" t="s">
        <v>90</v>
      </c>
      <c r="D7" t="s">
        <v>93</v>
      </c>
      <c r="E7" t="s">
        <v>119</v>
      </c>
      <c r="H7" t="s">
        <v>104</v>
      </c>
    </row>
    <row r="8" spans="1:12" x14ac:dyDescent="0.2">
      <c r="A8" s="11" t="s">
        <v>175</v>
      </c>
      <c r="B8" s="57">
        <v>43864.403865740744</v>
      </c>
      <c r="C8" s="56">
        <v>43864.672789351855</v>
      </c>
      <c r="D8" s="5">
        <v>5</v>
      </c>
      <c r="E8" s="5">
        <v>1</v>
      </c>
      <c r="H8" t="s">
        <v>105</v>
      </c>
    </row>
    <row r="9" spans="1:12" x14ac:dyDescent="0.2">
      <c r="A9" s="11" t="s">
        <v>177</v>
      </c>
      <c r="B9" s="57">
        <v>43865.645729166667</v>
      </c>
      <c r="C9" s="56">
        <v>43865.841574074075</v>
      </c>
      <c r="D9" s="5">
        <v>19</v>
      </c>
      <c r="E9" s="5">
        <v>1</v>
      </c>
    </row>
    <row r="10" spans="1:12" x14ac:dyDescent="0.2">
      <c r="A10" s="11" t="s">
        <v>180</v>
      </c>
      <c r="B10" s="57">
        <v>43866.667986111112</v>
      </c>
      <c r="C10" s="56">
        <v>43866.695891203701</v>
      </c>
      <c r="D10" s="5">
        <v>20</v>
      </c>
      <c r="E10" s="5">
        <v>1</v>
      </c>
    </row>
    <row r="11" spans="1:12" x14ac:dyDescent="0.2">
      <c r="A11" s="11" t="s">
        <v>181</v>
      </c>
      <c r="B11" s="57">
        <v>43867.646678240744</v>
      </c>
      <c r="C11" s="56">
        <v>43867.880486111113</v>
      </c>
      <c r="D11" s="5">
        <v>12</v>
      </c>
      <c r="E11" s="5">
        <v>1</v>
      </c>
    </row>
    <row r="12" spans="1:12" x14ac:dyDescent="0.2">
      <c r="A12" s="11" t="s">
        <v>182</v>
      </c>
      <c r="B12" s="57">
        <v>43868.467789351853</v>
      </c>
      <c r="C12" s="56">
        <v>43868.609085648146</v>
      </c>
      <c r="D12" s="5">
        <v>3</v>
      </c>
      <c r="E12" s="5">
        <v>1</v>
      </c>
    </row>
    <row r="13" spans="1:12" x14ac:dyDescent="0.2">
      <c r="A13" s="11" t="s">
        <v>259</v>
      </c>
      <c r="B13" s="57">
        <v>43871.627708333333</v>
      </c>
      <c r="C13" s="56">
        <v>43871.914259259262</v>
      </c>
      <c r="D13" s="5">
        <v>19</v>
      </c>
      <c r="E13" s="5">
        <v>1</v>
      </c>
    </row>
    <row r="14" spans="1:12" x14ac:dyDescent="0.2">
      <c r="A14" s="11" t="s">
        <v>260</v>
      </c>
      <c r="B14" s="57">
        <v>43872.646979166668</v>
      </c>
      <c r="C14" s="56">
        <v>43872.882106481484</v>
      </c>
      <c r="D14" s="5">
        <v>14</v>
      </c>
      <c r="E14" s="5">
        <v>1</v>
      </c>
    </row>
    <row r="15" spans="1:12" x14ac:dyDescent="0.2">
      <c r="A15" s="11" t="s">
        <v>261</v>
      </c>
      <c r="B15" s="57">
        <v>43873.478587962964</v>
      </c>
      <c r="C15" s="56">
        <v>43873.688703703701</v>
      </c>
      <c r="D15" s="5">
        <v>6</v>
      </c>
      <c r="E15" s="5">
        <v>1</v>
      </c>
    </row>
    <row r="16" spans="1:12" x14ac:dyDescent="0.2">
      <c r="A16" s="11" t="s">
        <v>262</v>
      </c>
      <c r="B16" s="57">
        <v>43874.650868055556</v>
      </c>
      <c r="C16" s="56">
        <v>43874.763055555559</v>
      </c>
      <c r="D16" s="5">
        <v>19</v>
      </c>
      <c r="E16" s="5">
        <v>1</v>
      </c>
    </row>
    <row r="17" spans="1:5" x14ac:dyDescent="0.2">
      <c r="A17" s="11" t="s">
        <v>263</v>
      </c>
      <c r="B17" s="57">
        <v>43875.390983796293</v>
      </c>
      <c r="C17" s="56">
        <v>43875.901701388888</v>
      </c>
      <c r="D17" s="5">
        <v>27</v>
      </c>
      <c r="E17" s="5">
        <v>2</v>
      </c>
    </row>
    <row r="18" spans="1:5" x14ac:dyDescent="0.2">
      <c r="A18" s="11" t="s">
        <v>251</v>
      </c>
      <c r="B18" s="57">
        <v>43878.422372685185</v>
      </c>
      <c r="C18" s="56">
        <v>43878.422372685185</v>
      </c>
      <c r="D18" s="5">
        <v>1</v>
      </c>
      <c r="E18" s="5">
        <v>0</v>
      </c>
    </row>
    <row r="19" spans="1:5" x14ac:dyDescent="0.2">
      <c r="A19" s="11" t="s">
        <v>252</v>
      </c>
      <c r="B19" s="57">
        <v>43879.671631944446</v>
      </c>
      <c r="C19" s="56">
        <v>43879.751585648148</v>
      </c>
      <c r="D19" s="5">
        <v>9</v>
      </c>
      <c r="E19" s="5">
        <v>1</v>
      </c>
    </row>
    <row r="20" spans="1:5" x14ac:dyDescent="0.2">
      <c r="A20" s="11" t="s">
        <v>236</v>
      </c>
      <c r="B20" s="57">
        <v>43880</v>
      </c>
      <c r="C20" s="56">
        <v>43880</v>
      </c>
      <c r="D20" s="5"/>
      <c r="E20" s="5">
        <v>0</v>
      </c>
    </row>
    <row r="21" spans="1:5" x14ac:dyDescent="0.2">
      <c r="A21" s="11" t="s">
        <v>253</v>
      </c>
      <c r="B21" s="57">
        <v>43881.628252314818</v>
      </c>
      <c r="C21" s="56">
        <v>43881.757106481484</v>
      </c>
      <c r="D21" s="5">
        <v>2</v>
      </c>
      <c r="E21" s="5">
        <v>1</v>
      </c>
    </row>
    <row r="22" spans="1:5" x14ac:dyDescent="0.2">
      <c r="A22" s="11" t="s">
        <v>264</v>
      </c>
      <c r="B22" s="57">
        <v>43882.357361111113</v>
      </c>
      <c r="C22" s="56">
        <v>43882.357361111113</v>
      </c>
      <c r="D22" s="5">
        <v>1</v>
      </c>
      <c r="E22" s="5">
        <v>1</v>
      </c>
    </row>
    <row r="23" spans="1:5" x14ac:dyDescent="0.2">
      <c r="A23" s="11" t="s">
        <v>45</v>
      </c>
      <c r="B23" s="57">
        <v>43864.403865740744</v>
      </c>
      <c r="C23" s="56">
        <v>43882.357361111113</v>
      </c>
      <c r="D23" s="5">
        <v>157</v>
      </c>
      <c r="E23" s="5">
        <v>14</v>
      </c>
    </row>
  </sheetData>
  <mergeCells count="1">
    <mergeCell ref="J4:J5"/>
  </mergeCells>
  <pageMargins left="0.7" right="0.7" top="0.75" bottom="0.75" header="0.3" footer="0.3"/>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363299-D8F0-40C9-8B0E-9141E16D222B}">
  <sheetPr codeName="Feuil15"/>
  <dimension ref="A1:U16"/>
  <sheetViews>
    <sheetView workbookViewId="0">
      <selection activeCell="S17" sqref="S17"/>
    </sheetView>
  </sheetViews>
  <sheetFormatPr baseColWidth="10" defaultRowHeight="14.25" x14ac:dyDescent="0.2"/>
  <cols>
    <col min="1" max="1" width="21.625" bestFit="1" customWidth="1"/>
    <col min="2" max="2" width="17.125" bestFit="1" customWidth="1"/>
    <col min="3" max="3" width="15.125" bestFit="1" customWidth="1"/>
    <col min="4" max="4" width="20.75" bestFit="1" customWidth="1"/>
    <col min="5" max="5" width="20" bestFit="1" customWidth="1"/>
    <col min="6" max="6" width="18.5" bestFit="1" customWidth="1"/>
    <col min="7" max="7" width="10.625" bestFit="1" customWidth="1"/>
    <col min="8" max="8" width="14.625" bestFit="1" customWidth="1"/>
    <col min="9" max="9" width="19" bestFit="1" customWidth="1"/>
    <col min="10" max="10" width="18.625" bestFit="1" customWidth="1"/>
    <col min="11" max="11" width="19.75" bestFit="1" customWidth="1"/>
    <col min="12" max="12" width="25.5" bestFit="1" customWidth="1"/>
    <col min="13" max="13" width="26" bestFit="1" customWidth="1"/>
    <col min="14" max="14" width="27.25" bestFit="1" customWidth="1"/>
    <col min="15" max="15" width="27.75" bestFit="1" customWidth="1"/>
    <col min="16" max="16" width="22.75" bestFit="1" customWidth="1"/>
    <col min="17" max="18" width="23.25" bestFit="1" customWidth="1"/>
    <col min="19" max="19" width="23.75" bestFit="1" customWidth="1"/>
    <col min="20" max="20" width="25.75" bestFit="1" customWidth="1"/>
    <col min="21" max="22" width="17.25" bestFit="1" customWidth="1"/>
  </cols>
  <sheetData>
    <row r="1" spans="1:21" x14ac:dyDescent="0.2">
      <c r="A1" s="57">
        <f>A15</f>
        <v>43882.357361111113</v>
      </c>
      <c r="E1" t="s">
        <v>16</v>
      </c>
      <c r="F1">
        <f>GETPIVOTDATA("Conforme ",$A$14)</f>
        <v>1</v>
      </c>
      <c r="G1" s="8">
        <f>F1/F3</f>
        <v>1</v>
      </c>
      <c r="J1" t="s">
        <v>51</v>
      </c>
      <c r="K1" s="21">
        <f>GETPIVOTDATA("Somme de Gagnant",$A$14)/GETPIVOTDATA("Nombre de Résultat",$A$14)</f>
        <v>1</v>
      </c>
      <c r="L1" s="75" t="s">
        <v>147</v>
      </c>
      <c r="M1" s="65">
        <f>GETPIVOTDATA("Somme de Points Gagnant",$A$14)</f>
        <v>1</v>
      </c>
      <c r="N1" s="154" t="e">
        <f>M1/ABS(M2)</f>
        <v>#DIV/0!</v>
      </c>
      <c r="O1" s="75" t="s">
        <v>134</v>
      </c>
      <c r="P1" s="65">
        <f>GETPIVOTDATA("Moyenne de Points Gagnant",$A$14)</f>
        <v>1</v>
      </c>
      <c r="Q1" s="154" t="e">
        <f>P1/ABS(P2)</f>
        <v>#DIV/0!</v>
      </c>
      <c r="R1" s="75" t="s">
        <v>135</v>
      </c>
      <c r="S1" s="75">
        <f>GETPIVOTDATA("Min. de Points Gagnant",$A$14)</f>
        <v>1</v>
      </c>
      <c r="T1" s="75" t="s">
        <v>136</v>
      </c>
      <c r="U1" s="65">
        <f>GETPIVOTDATA("Max. de Points Gagnant",$A$14)</f>
        <v>1</v>
      </c>
    </row>
    <row r="2" spans="1:21" x14ac:dyDescent="0.2">
      <c r="E2" t="s">
        <v>17</v>
      </c>
      <c r="F2">
        <f>GETPIVOTDATA("Non conforme ",$A$14)</f>
        <v>0</v>
      </c>
      <c r="G2" s="8">
        <f>F2/F3</f>
        <v>0</v>
      </c>
      <c r="J2" t="s">
        <v>52</v>
      </c>
      <c r="K2" s="21">
        <f>GETPIVOTDATA("Somme de Perdant",$A$14)/GETPIVOTDATA("Nombre de Résultat",$A$14)</f>
        <v>0</v>
      </c>
      <c r="L2" s="75" t="s">
        <v>148</v>
      </c>
      <c r="M2" s="65">
        <f>GETPIVOTDATA("Somme de Points perdants",$A$14)</f>
        <v>0</v>
      </c>
      <c r="N2" s="154"/>
      <c r="O2" s="75" t="s">
        <v>134</v>
      </c>
      <c r="P2" s="65" t="e">
        <f>GETPIVOTDATA("Moyenne de Points perdants",$A$14)</f>
        <v>#DIV/0!</v>
      </c>
      <c r="Q2" s="154"/>
      <c r="R2" s="75" t="s">
        <v>135</v>
      </c>
      <c r="S2" s="75">
        <f>GETPIVOTDATA("Max. de Points perdants",$A$14)</f>
        <v>0</v>
      </c>
      <c r="T2" s="75" t="s">
        <v>136</v>
      </c>
      <c r="U2" s="65">
        <f>GETPIVOTDATA("Min. de Points perdants",$A$14)</f>
        <v>0</v>
      </c>
    </row>
    <row r="3" spans="1:21" x14ac:dyDescent="0.2">
      <c r="E3" t="s">
        <v>151</v>
      </c>
      <c r="F3">
        <f>SUM(F1:F2)</f>
        <v>1</v>
      </c>
      <c r="L3" s="65"/>
      <c r="M3" s="65"/>
      <c r="N3" s="65" t="s">
        <v>161</v>
      </c>
      <c r="O3" s="65"/>
      <c r="P3" s="65"/>
      <c r="Q3" s="75" t="s">
        <v>163</v>
      </c>
      <c r="R3" s="65"/>
      <c r="S3" s="65"/>
      <c r="T3" s="65"/>
      <c r="U3" s="65"/>
    </row>
    <row r="5" spans="1:21" x14ac:dyDescent="0.2">
      <c r="E5" s="58" t="s">
        <v>91</v>
      </c>
      <c r="F5">
        <v>1</v>
      </c>
    </row>
    <row r="6" spans="1:21" x14ac:dyDescent="0.2">
      <c r="E6" s="58" t="s">
        <v>92</v>
      </c>
      <c r="F6">
        <f>GETPIVOTDATA("Nombre de Résultat",$A$14)</f>
        <v>1</v>
      </c>
    </row>
    <row r="7" spans="1:21" x14ac:dyDescent="0.2">
      <c r="E7" s="58" t="s">
        <v>94</v>
      </c>
      <c r="F7" s="5">
        <f>MATCH(A1,Table_BDD[Horodatage ouverture],1)-1</f>
        <v>157</v>
      </c>
    </row>
    <row r="8" spans="1:21" x14ac:dyDescent="0.2">
      <c r="E8" s="58" t="s">
        <v>99</v>
      </c>
      <c r="F8" s="59">
        <f>_xlfn.MINIFS(Table_BDD[Equité début de journée],Table_BDD[Horodatage ouverture],A1)</f>
        <v>855.32</v>
      </c>
      <c r="G8" s="153">
        <f>(F9-F8)/F8</f>
        <v>5.0273581817325671E-4</v>
      </c>
    </row>
    <row r="9" spans="1:21" x14ac:dyDescent="0.2">
      <c r="E9" s="58" t="s">
        <v>100</v>
      </c>
      <c r="F9" s="59">
        <f>_xlfn.MAXIFS(Table_BDD[Equité fin de journée],Table_BDD[Horodatage ouverture],A1)</f>
        <v>855.75</v>
      </c>
      <c r="G9" s="153"/>
    </row>
    <row r="14" spans="1:21" x14ac:dyDescent="0.2">
      <c r="A14" s="3" t="s">
        <v>44</v>
      </c>
      <c r="B14" t="s">
        <v>48</v>
      </c>
      <c r="C14" t="s">
        <v>129</v>
      </c>
      <c r="D14" t="s">
        <v>130</v>
      </c>
      <c r="E14" t="s">
        <v>131</v>
      </c>
      <c r="F14" t="s">
        <v>50</v>
      </c>
      <c r="G14" t="s">
        <v>149</v>
      </c>
      <c r="H14" t="s">
        <v>150</v>
      </c>
      <c r="I14" t="s">
        <v>132</v>
      </c>
      <c r="J14" t="s">
        <v>133</v>
      </c>
      <c r="K14" t="s">
        <v>53</v>
      </c>
      <c r="L14" t="s">
        <v>139</v>
      </c>
      <c r="M14" t="s">
        <v>140</v>
      </c>
      <c r="N14" t="s">
        <v>141</v>
      </c>
      <c r="O14" t="s">
        <v>142</v>
      </c>
      <c r="P14" t="s">
        <v>143</v>
      </c>
      <c r="Q14" t="s">
        <v>144</v>
      </c>
      <c r="R14" t="s">
        <v>146</v>
      </c>
      <c r="S14" t="s">
        <v>145</v>
      </c>
      <c r="T14" t="s">
        <v>62</v>
      </c>
      <c r="U14" t="s">
        <v>171</v>
      </c>
    </row>
    <row r="15" spans="1:21" x14ac:dyDescent="0.2">
      <c r="A15" s="11">
        <v>43882.357361111113</v>
      </c>
      <c r="B15" s="5">
        <v>1</v>
      </c>
      <c r="C15" s="5">
        <v>1</v>
      </c>
      <c r="D15" s="6">
        <v>5.0273581817325671E-4</v>
      </c>
      <c r="E15" s="6">
        <v>0</v>
      </c>
      <c r="F15" s="6">
        <v>0</v>
      </c>
      <c r="G15" s="5">
        <v>1</v>
      </c>
      <c r="H15" s="5">
        <v>0</v>
      </c>
      <c r="I15" s="5">
        <v>1</v>
      </c>
      <c r="J15" s="5">
        <v>0</v>
      </c>
      <c r="K15" s="5">
        <v>1</v>
      </c>
      <c r="L15" s="5">
        <v>1</v>
      </c>
      <c r="M15" s="5">
        <v>0</v>
      </c>
      <c r="N15" s="5">
        <v>1</v>
      </c>
      <c r="O15" s="5" t="e">
        <v>#DIV/0!</v>
      </c>
      <c r="P15" s="5">
        <v>1</v>
      </c>
      <c r="Q15" s="5">
        <v>0</v>
      </c>
      <c r="R15" s="5">
        <v>1</v>
      </c>
      <c r="S15" s="5">
        <v>0</v>
      </c>
      <c r="T15" s="5">
        <v>7</v>
      </c>
      <c r="U15" s="5">
        <v>14.150954650860555</v>
      </c>
    </row>
    <row r="16" spans="1:21" x14ac:dyDescent="0.2">
      <c r="A16" s="11" t="s">
        <v>45</v>
      </c>
      <c r="B16" s="5">
        <v>1</v>
      </c>
      <c r="C16" s="5"/>
      <c r="D16" s="6">
        <v>5.0273581817325671E-4</v>
      </c>
      <c r="E16" s="6">
        <v>0</v>
      </c>
      <c r="F16" s="6">
        <v>0</v>
      </c>
      <c r="G16" s="5">
        <v>1</v>
      </c>
      <c r="H16" s="5">
        <v>0</v>
      </c>
      <c r="I16" s="5">
        <v>1</v>
      </c>
      <c r="J16" s="5">
        <v>0</v>
      </c>
      <c r="K16" s="5">
        <v>1</v>
      </c>
      <c r="L16" s="5">
        <v>1</v>
      </c>
      <c r="M16" s="5">
        <v>0</v>
      </c>
      <c r="N16" s="5">
        <v>1</v>
      </c>
      <c r="O16" s="5" t="e">
        <v>#DIV/0!</v>
      </c>
      <c r="P16" s="5">
        <v>1</v>
      </c>
      <c r="Q16" s="5">
        <v>0</v>
      </c>
      <c r="R16" s="5">
        <v>1</v>
      </c>
      <c r="S16" s="5">
        <v>0</v>
      </c>
      <c r="T16" s="5">
        <v>7</v>
      </c>
      <c r="U16" s="5">
        <v>14.150954650860555</v>
      </c>
    </row>
  </sheetData>
  <mergeCells count="3">
    <mergeCell ref="N1:N2"/>
    <mergeCell ref="Q1:Q2"/>
    <mergeCell ref="G8:G9"/>
  </mergeCells>
  <pageMargins left="0.7" right="0.7" top="0.75" bottom="0.75" header="0.3" footer="0.3"/>
  <pageSetup paperSize="9" orientation="portrait" horizontalDpi="1200" verticalDpi="1200"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CBACEAF-ED74-4129-B4E6-E09868A12120}">
  <sheetPr codeName="Feuil14"/>
  <dimension ref="A1:V68"/>
  <sheetViews>
    <sheetView showGridLines="0" showRowColHeaders="0" zoomScaleNormal="100" workbookViewId="0">
      <selection activeCell="L21" sqref="L21"/>
    </sheetView>
  </sheetViews>
  <sheetFormatPr baseColWidth="10" defaultColWidth="0" defaultRowHeight="14.25" zeroHeight="1" x14ac:dyDescent="0.2"/>
  <cols>
    <col min="1" max="8" width="11" style="66" customWidth="1"/>
    <col min="9" max="9" width="6.125" style="66" customWidth="1"/>
    <col min="10" max="10" width="2.75" style="66" customWidth="1"/>
    <col min="11" max="11" width="30.75" style="66" bestFit="1" customWidth="1"/>
    <col min="12" max="12" width="14.5" style="66" customWidth="1"/>
    <col min="13" max="13" width="28.5" style="66" customWidth="1"/>
    <col min="14" max="14" width="6.125" style="66" customWidth="1"/>
    <col min="15" max="15" width="10.25" style="66" customWidth="1"/>
    <col min="16" max="16" width="7.75" style="66" customWidth="1"/>
    <col min="17" max="17" width="11" style="66" customWidth="1"/>
    <col min="18" max="18" width="3.25" style="66" customWidth="1"/>
    <col min="19" max="19" width="8.625" style="66" customWidth="1"/>
    <col min="20" max="20" width="9.25" style="66" bestFit="1" customWidth="1"/>
    <col min="21" max="21" width="11.875" style="66" customWidth="1"/>
    <col min="22" max="22" width="6.5" style="66" hidden="1" customWidth="1"/>
    <col min="23" max="16384" width="11" style="66" hidden="1"/>
  </cols>
  <sheetData>
    <row r="1" spans="11:21" x14ac:dyDescent="0.2"/>
    <row r="2" spans="11:21" x14ac:dyDescent="0.2"/>
    <row r="3" spans="11:21" x14ac:dyDescent="0.2"/>
    <row r="4" spans="11:21" x14ac:dyDescent="0.2">
      <c r="U4" s="67"/>
    </row>
    <row r="5" spans="11:21" x14ac:dyDescent="0.2">
      <c r="S5" s="13"/>
      <c r="T5" s="13"/>
    </row>
    <row r="6" spans="11:21" x14ac:dyDescent="0.2"/>
    <row r="7" spans="11:21" x14ac:dyDescent="0.2">
      <c r="U7" s="67"/>
    </row>
    <row r="8" spans="11:21" x14ac:dyDescent="0.2"/>
    <row r="9" spans="11:21" x14ac:dyDescent="0.2"/>
    <row r="10" spans="11:21" ht="23.25" customHeight="1" x14ac:dyDescent="0.2"/>
    <row r="11" spans="11:21" x14ac:dyDescent="0.2"/>
    <row r="12" spans="11:21" x14ac:dyDescent="0.2"/>
    <row r="13" spans="11:21" x14ac:dyDescent="0.2"/>
    <row r="14" spans="11:21" ht="15.75" x14ac:dyDescent="0.2">
      <c r="K14" s="22" t="s">
        <v>162</v>
      </c>
      <c r="M14" s="22" t="s">
        <v>63</v>
      </c>
    </row>
    <row r="15" spans="11:21" ht="20.25" x14ac:dyDescent="0.2">
      <c r="K15" s="85">
        <f>'Général - Gains Pertes Points'!J4</f>
        <v>2.4213390127287404</v>
      </c>
      <c r="M15" s="14">
        <f>'Général - Note'!L2</f>
        <v>0.2</v>
      </c>
    </row>
    <row r="16" spans="11:21" x14ac:dyDescent="0.2"/>
    <row r="17" spans="11:19" ht="15.75" x14ac:dyDescent="0.2">
      <c r="K17" s="22" t="s">
        <v>64</v>
      </c>
      <c r="M17" s="22" t="s">
        <v>76</v>
      </c>
    </row>
    <row r="18" spans="11:19" ht="14.25" customHeight="1" x14ac:dyDescent="0.2">
      <c r="K18" s="15">
        <f>GETPIVOTDATA("Drawdown",'Général - Max Drawdown'!$A$3)</f>
        <v>-0.26388625052239656</v>
      </c>
      <c r="M18" s="20">
        <f>'Général Tableau des conformités'!H3</f>
        <v>2.5477707006369428E-2</v>
      </c>
    </row>
    <row r="19" spans="11:19" ht="14.25" customHeight="1" x14ac:dyDescent="0.2">
      <c r="S19" s="18"/>
    </row>
    <row r="20" spans="11:19" ht="20.25" x14ac:dyDescent="0.2">
      <c r="K20" s="22" t="s">
        <v>75</v>
      </c>
      <c r="L20" s="100"/>
      <c r="M20" s="106"/>
      <c r="N20" s="106"/>
      <c r="P20" s="17">
        <f>'Général - Profit Factor'!H2</f>
        <v>0.8</v>
      </c>
    </row>
    <row r="21" spans="11:19" ht="20.25" x14ac:dyDescent="0.2">
      <c r="K21" s="16">
        <f>GETPIVOTDATA("Points",'Général - Profit Factor'!$A$6)</f>
        <v>-294.49999999999994</v>
      </c>
      <c r="M21" s="23"/>
    </row>
    <row r="22" spans="11:19" x14ac:dyDescent="0.2"/>
    <row r="23" spans="11:19" ht="20.25" x14ac:dyDescent="0.2">
      <c r="K23" s="22" t="s">
        <v>127</v>
      </c>
      <c r="L23" s="72">
        <f>'Général - calendrier dynamique'!J4</f>
        <v>-0.14424999999999999</v>
      </c>
      <c r="M23" s="22" t="s">
        <v>128</v>
      </c>
      <c r="N23" s="70">
        <f>GETPIVOTDATA("Nombre de Position",'Général - calendrier dynamique'!$A$3)</f>
        <v>157</v>
      </c>
    </row>
    <row r="24" spans="11:19" ht="15.75" x14ac:dyDescent="0.2">
      <c r="K24" s="73">
        <f>L23/GETPIVOTDATA("Somme de Nb de séance de trading",'Général - calendrier dynamique'!$A$3)</f>
        <v>-1.0303571428571428E-2</v>
      </c>
      <c r="M24" s="71">
        <f>N23/GETPIVOTDATA("Somme de Nb de séance de trading",'Général - calendrier dynamique'!$A$3)</f>
        <v>11.214285714285714</v>
      </c>
    </row>
    <row r="25" spans="11:19" x14ac:dyDescent="0.2"/>
    <row r="26" spans="11:19" x14ac:dyDescent="0.2"/>
    <row r="27" spans="11:19" x14ac:dyDescent="0.2"/>
    <row r="28" spans="11:19" x14ac:dyDescent="0.2"/>
    <row r="29" spans="11:19" x14ac:dyDescent="0.2"/>
    <row r="30" spans="11:19" x14ac:dyDescent="0.2"/>
    <row r="31" spans="11:19" x14ac:dyDescent="0.2"/>
    <row r="32" spans="11:19" x14ac:dyDescent="0.2"/>
    <row r="33" x14ac:dyDescent="0.2"/>
    <row r="34" x14ac:dyDescent="0.2"/>
    <row r="35" x14ac:dyDescent="0.2"/>
    <row r="36" x14ac:dyDescent="0.2"/>
    <row r="37" x14ac:dyDescent="0.2"/>
    <row r="38" x14ac:dyDescent="0.2"/>
    <row r="39" hidden="1" x14ac:dyDescent="0.2"/>
    <row r="40" hidden="1" x14ac:dyDescent="0.2"/>
    <row r="41" hidden="1" x14ac:dyDescent="0.2"/>
    <row r="42" hidden="1" x14ac:dyDescent="0.2"/>
    <row r="43" hidden="1" x14ac:dyDescent="0.2"/>
    <row r="44" hidden="1" x14ac:dyDescent="0.2"/>
    <row r="45" hidden="1" x14ac:dyDescent="0.2"/>
    <row r="46" hidden="1" x14ac:dyDescent="0.2"/>
    <row r="47" hidden="1" x14ac:dyDescent="0.2"/>
    <row r="48" hidden="1" x14ac:dyDescent="0.2"/>
    <row r="49" hidden="1" x14ac:dyDescent="0.2"/>
    <row r="50" hidden="1" x14ac:dyDescent="0.2"/>
    <row r="51" hidden="1" x14ac:dyDescent="0.2"/>
    <row r="52" hidden="1" x14ac:dyDescent="0.2"/>
    <row r="53" hidden="1" x14ac:dyDescent="0.2"/>
    <row r="54" hidden="1" x14ac:dyDescent="0.2"/>
    <row r="55" hidden="1" x14ac:dyDescent="0.2"/>
    <row r="56" hidden="1" x14ac:dyDescent="0.2"/>
    <row r="57" hidden="1" x14ac:dyDescent="0.2"/>
    <row r="58" hidden="1" x14ac:dyDescent="0.2"/>
    <row r="59" hidden="1" x14ac:dyDescent="0.2"/>
    <row r="60" hidden="1" x14ac:dyDescent="0.2"/>
    <row r="61" hidden="1" x14ac:dyDescent="0.2"/>
    <row r="62" hidden="1" x14ac:dyDescent="0.2"/>
    <row r="63" hidden="1" x14ac:dyDescent="0.2"/>
    <row r="64" hidden="1" x14ac:dyDescent="0.2"/>
    <row r="65" hidden="1" x14ac:dyDescent="0.2"/>
    <row r="66" hidden="1" x14ac:dyDescent="0.2"/>
    <row r="67" hidden="1" x14ac:dyDescent="0.2"/>
    <row r="68" hidden="1" x14ac:dyDescent="0.2"/>
  </sheetData>
  <sheetProtection selectLockedCells="1"/>
  <pageMargins left="0.7" right="0.7" top="0.75" bottom="0.75" header="0.3" footer="0.3"/>
  <pageSetup paperSize="9" orientation="portrait" horizontalDpi="1200" verticalDpi="1200" r:id="rId1"/>
  <drawing r:id="rId2"/>
  <extLst>
    <ext xmlns:x14="http://schemas.microsoft.com/office/spreadsheetml/2009/9/main" uri="{A8765BA9-456A-4dab-B4F3-ACF838C121DE}">
      <x14:slicerList>
        <x14:slicer r:id="rId3"/>
      </x14:slicerList>
    </ext>
  </extLst>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873C8D-BECB-4E99-B73D-2DE334EB28D9}">
  <sheetPr codeName="Feuil18"/>
  <dimension ref="A1:X86"/>
  <sheetViews>
    <sheetView showGridLines="0" showRowColHeaders="0" zoomScale="90" zoomScaleNormal="90" workbookViewId="0">
      <selection activeCell="I28" sqref="I28:P37"/>
    </sheetView>
  </sheetViews>
  <sheetFormatPr baseColWidth="10" defaultColWidth="0" defaultRowHeight="14.25" customHeight="1" zeroHeight="1" x14ac:dyDescent="0.2"/>
  <cols>
    <col min="1" max="8" width="11" style="66" customWidth="1"/>
    <col min="9" max="9" width="6.125" style="66" customWidth="1"/>
    <col min="10" max="10" width="2.75" style="66" customWidth="1"/>
    <col min="11" max="11" width="30.75" style="66" bestFit="1" customWidth="1"/>
    <col min="12" max="12" width="14.5" style="66" customWidth="1"/>
    <col min="13" max="13" width="28.5" style="66" customWidth="1"/>
    <col min="14" max="14" width="4.25" style="66" customWidth="1"/>
    <col min="15" max="15" width="11.75" style="66" customWidth="1"/>
    <col min="16" max="16" width="7.75" style="66" customWidth="1"/>
    <col min="17" max="17" width="7.125" style="66" customWidth="1"/>
    <col min="18" max="18" width="3.25" style="86" customWidth="1"/>
    <col min="19" max="22" width="12.5" style="66" customWidth="1"/>
    <col min="23" max="23" width="0.75" style="66" customWidth="1"/>
    <col min="24" max="24" width="6.5" style="66" hidden="1" customWidth="1"/>
    <col min="25" max="16384" width="11" style="66" hidden="1"/>
  </cols>
  <sheetData>
    <row r="1" spans="11:23" x14ac:dyDescent="0.2"/>
    <row r="2" spans="11:23" x14ac:dyDescent="0.2"/>
    <row r="3" spans="11:23" x14ac:dyDescent="0.2">
      <c r="V3" s="101">
        <f>'Calculs jour'!A1</f>
        <v>43882.357361111113</v>
      </c>
    </row>
    <row r="4" spans="11:23" x14ac:dyDescent="0.2">
      <c r="W4" s="67"/>
    </row>
    <row r="5" spans="11:23" x14ac:dyDescent="0.2">
      <c r="S5" s="13"/>
      <c r="T5" s="13"/>
      <c r="U5" s="13"/>
      <c r="V5" s="13"/>
    </row>
    <row r="6" spans="11:23" x14ac:dyDescent="0.2"/>
    <row r="7" spans="11:23" x14ac:dyDescent="0.2">
      <c r="W7" s="67"/>
    </row>
    <row r="8" spans="11:23" x14ac:dyDescent="0.2"/>
    <row r="9" spans="11:23" x14ac:dyDescent="0.2"/>
    <row r="10" spans="11:23" x14ac:dyDescent="0.2"/>
    <row r="11" spans="11:23" x14ac:dyDescent="0.2"/>
    <row r="12" spans="11:23" x14ac:dyDescent="0.2"/>
    <row r="13" spans="11:23" ht="20.25" customHeight="1" x14ac:dyDescent="0.2"/>
    <row r="14" spans="11:23" ht="20.25" customHeight="1" x14ac:dyDescent="0.2"/>
    <row r="15" spans="11:23" ht="20.25" customHeight="1" x14ac:dyDescent="0.2">
      <c r="O15" s="76"/>
      <c r="P15" s="76"/>
      <c r="Q15" s="76"/>
    </row>
    <row r="16" spans="11:23" ht="20.25" customHeight="1" x14ac:dyDescent="0.2">
      <c r="K16" s="22" t="s">
        <v>162</v>
      </c>
      <c r="M16" s="22" t="s">
        <v>156</v>
      </c>
      <c r="O16" s="76"/>
      <c r="P16" s="76"/>
      <c r="Q16" s="76"/>
      <c r="S16" s="87" t="s">
        <v>165</v>
      </c>
      <c r="T16" s="87" t="s">
        <v>166</v>
      </c>
      <c r="U16" s="87" t="s">
        <v>167</v>
      </c>
      <c r="V16" s="87" t="s">
        <v>168</v>
      </c>
    </row>
    <row r="17" spans="9:22" ht="20.25" customHeight="1" x14ac:dyDescent="0.2">
      <c r="K17" s="85" t="str">
        <f>IFERROR('Calculs jour'!Q1,"")</f>
        <v/>
      </c>
      <c r="L17" s="76"/>
      <c r="M17" s="83">
        <f>IFERROR(ROUND(GETPIVOTDATA("Moyenne de Note du trade",'Calculs jour'!$A$14),1),"")</f>
        <v>7</v>
      </c>
      <c r="N17" s="76"/>
      <c r="O17" s="76"/>
      <c r="P17" s="76"/>
      <c r="Q17" s="103"/>
      <c r="R17" s="88">
        <v>1</v>
      </c>
      <c r="S17" s="105">
        <f t="array" aca="1" ref="S17:S37" ca="1">OFFSET(BDD!$BK$4,MATCH(INT($V$3),Table_BDD[Date],0)-1,0,'Tableau de bord Jours'!$N$22,1)</f>
        <v>29019.88</v>
      </c>
      <c r="T17" s="105">
        <f t="array" aca="1" ref="T17:T37" ca="1">OFFSET(BDD!$F$4,MATCH(INT($V$3),Table_BDD[Date],0)-1,0,'Tableau de bord Jours'!$N$22,1)</f>
        <v>29021.73</v>
      </c>
      <c r="U17" s="105">
        <f t="array" aca="1" ref="U17:U37" ca="1">OFFSET(BDD!$BL$4,MATCH(INT($V$3),Table_BDD[Date],0)-1,0,'Tableau de bord Jours'!N$22,1)</f>
        <v>29067.8</v>
      </c>
      <c r="V17" s="105">
        <f t="array" aca="1" ref="V17:V37" ca="1">OFFSET(BDD!$J$4,MATCH(INT($V$3),Table_BDD[Date],0)-1,0,'Tableau de bord Jours'!$N$22,1)</f>
        <v>29022.75</v>
      </c>
    </row>
    <row r="18" spans="9:22" ht="20.25" customHeight="1" x14ac:dyDescent="0.2">
      <c r="L18" s="76"/>
      <c r="M18" s="76"/>
      <c r="N18" s="76"/>
      <c r="O18" s="76"/>
      <c r="P18" s="76"/>
      <c r="Q18" s="103"/>
      <c r="R18" s="88">
        <v>2</v>
      </c>
      <c r="S18" s="105">
        <f ca="1"/>
        <v>29019.88</v>
      </c>
      <c r="T18" s="105">
        <f ca="1"/>
        <v>29021.73</v>
      </c>
      <c r="U18" s="105">
        <f ca="1"/>
        <v>29067.8</v>
      </c>
      <c r="V18" s="105">
        <f ca="1"/>
        <v>29022.75</v>
      </c>
    </row>
    <row r="19" spans="9:22" ht="20.25" customHeight="1" x14ac:dyDescent="0.2">
      <c r="K19" s="22" t="s">
        <v>152</v>
      </c>
      <c r="L19" s="76"/>
      <c r="M19" s="77" t="s">
        <v>157</v>
      </c>
      <c r="N19" s="76"/>
      <c r="O19" s="76"/>
      <c r="P19" s="84" t="str">
        <f>IFERROR('Calculs jour'!N1,"")</f>
        <v/>
      </c>
      <c r="Q19" s="103"/>
      <c r="R19" s="88">
        <v>3</v>
      </c>
      <c r="S19" s="105">
        <f ca="1"/>
        <v>29019.88</v>
      </c>
      <c r="T19" s="105">
        <f ca="1"/>
        <v>29021.73</v>
      </c>
      <c r="U19" s="105">
        <f ca="1"/>
        <v>29067.8</v>
      </c>
      <c r="V19" s="105">
        <f ca="1"/>
        <v>29022.75</v>
      </c>
    </row>
    <row r="20" spans="9:22" ht="20.25" customHeight="1" x14ac:dyDescent="0.2">
      <c r="K20" s="15" t="str">
        <f>IF(GETPIVOTDATA("Min. de Drawdown",'Calculs jour'!$A$14)=0,"",GETPIVOTDATA("Min. de Drawdown",'Calculs jour'!$A$14))</f>
        <v/>
      </c>
      <c r="L20" s="76"/>
      <c r="M20" s="78">
        <f>IFERROR('Calculs jour'!G1,"")</f>
        <v>1</v>
      </c>
      <c r="N20" s="76"/>
      <c r="O20" s="76"/>
      <c r="Q20" s="103"/>
      <c r="R20" s="88">
        <v>4</v>
      </c>
      <c r="S20" s="105">
        <f ca="1"/>
        <v>29019.88</v>
      </c>
      <c r="T20" s="105">
        <f ca="1"/>
        <v>29021.73</v>
      </c>
      <c r="U20" s="105">
        <f ca="1"/>
        <v>29067.8</v>
      </c>
      <c r="V20" s="105">
        <f ca="1"/>
        <v>29022.75</v>
      </c>
    </row>
    <row r="21" spans="9:22" ht="20.25" customHeight="1" x14ac:dyDescent="0.2">
      <c r="L21" s="76"/>
      <c r="M21" s="76"/>
      <c r="N21" s="76"/>
      <c r="O21" s="76"/>
      <c r="P21" s="76"/>
      <c r="Q21" s="103"/>
      <c r="R21" s="88">
        <v>5</v>
      </c>
      <c r="S21" s="105">
        <f ca="1"/>
        <v>29019.88</v>
      </c>
      <c r="T21" s="105">
        <f ca="1"/>
        <v>29021.73</v>
      </c>
      <c r="U21" s="105">
        <f ca="1"/>
        <v>29067.8</v>
      </c>
      <c r="V21" s="105">
        <f ca="1"/>
        <v>29022.75</v>
      </c>
    </row>
    <row r="22" spans="9:22" ht="20.25" customHeight="1" x14ac:dyDescent="0.2">
      <c r="K22" s="22" t="s">
        <v>153</v>
      </c>
      <c r="L22" s="77"/>
      <c r="M22" s="77" t="s">
        <v>155</v>
      </c>
      <c r="N22" s="81">
        <f>IFERROR(IF(GETPIVOTDATA("Conforme ",'Calculs jour'!$A$14)+GETPIVOTDATA("Non conforme ",'Calculs jour'!$A$14)=0,"",GETPIVOTDATA("Conforme ",'Calculs jour'!$A$14)+GETPIVOTDATA("Non conforme ",'Calculs jour'!$A$14)),"")</f>
        <v>1</v>
      </c>
      <c r="O22" s="76"/>
      <c r="P22" s="76"/>
      <c r="Q22" s="103"/>
      <c r="R22" s="88">
        <v>6</v>
      </c>
      <c r="S22" s="105">
        <f ca="1"/>
        <v>29019.88</v>
      </c>
      <c r="T22" s="105">
        <f ca="1"/>
        <v>29021.73</v>
      </c>
      <c r="U22" s="105">
        <f ca="1"/>
        <v>29067.8</v>
      </c>
      <c r="V22" s="105">
        <f ca="1"/>
        <v>29022.75</v>
      </c>
    </row>
    <row r="23" spans="9:22" ht="20.25" customHeight="1" x14ac:dyDescent="0.2">
      <c r="K23" s="146">
        <f>IFERROR(GETPIVOTDATA("Somme de Points",'Calculs jour'!$A$14),"")</f>
        <v>1</v>
      </c>
      <c r="L23" s="76"/>
      <c r="M23" s="79"/>
      <c r="N23" s="76"/>
      <c r="O23" s="76"/>
      <c r="P23" s="76"/>
      <c r="Q23" s="103"/>
      <c r="R23" s="88">
        <v>7</v>
      </c>
      <c r="S23" s="105">
        <f ca="1"/>
        <v>29019.88</v>
      </c>
      <c r="T23" s="105">
        <f ca="1"/>
        <v>29021.73</v>
      </c>
      <c r="U23" s="105">
        <f ca="1"/>
        <v>29067.8</v>
      </c>
      <c r="V23" s="105">
        <f ca="1"/>
        <v>29022.75</v>
      </c>
    </row>
    <row r="24" spans="9:22" ht="20.25" customHeight="1" x14ac:dyDescent="0.2">
      <c r="L24" s="76"/>
      <c r="M24" s="76"/>
      <c r="N24" s="76"/>
      <c r="O24" s="76"/>
      <c r="P24" s="76"/>
      <c r="Q24" s="103"/>
      <c r="R24" s="88">
        <v>8</v>
      </c>
      <c r="S24" s="105">
        <f ca="1"/>
        <v>29019.88</v>
      </c>
      <c r="T24" s="105">
        <f ca="1"/>
        <v>29021.73</v>
      </c>
      <c r="U24" s="105">
        <f ca="1"/>
        <v>29067.8</v>
      </c>
      <c r="V24" s="105">
        <f ca="1"/>
        <v>29022.75</v>
      </c>
    </row>
    <row r="25" spans="9:22" ht="20.25" customHeight="1" x14ac:dyDescent="0.2">
      <c r="K25" s="22" t="s">
        <v>154</v>
      </c>
      <c r="L25" s="80">
        <f>IF(IFERROR('Calculs jour'!G8,"")=0,"",IFERROR('Calculs jour'!G8,""))</f>
        <v>5.0273581817325671E-4</v>
      </c>
      <c r="O25" s="76"/>
      <c r="P25" s="76"/>
      <c r="Q25" s="103"/>
      <c r="R25" s="88">
        <v>9</v>
      </c>
      <c r="S25" s="105">
        <f ca="1"/>
        <v>29019.88</v>
      </c>
      <c r="T25" s="105">
        <f ca="1"/>
        <v>29021.73</v>
      </c>
      <c r="U25" s="105">
        <f ca="1"/>
        <v>29067.8</v>
      </c>
      <c r="V25" s="105">
        <f ca="1"/>
        <v>29022.75</v>
      </c>
    </row>
    <row r="26" spans="9:22" ht="20.25" customHeight="1" x14ac:dyDescent="0.2">
      <c r="K26" s="73"/>
      <c r="L26" s="76"/>
      <c r="M26" s="82"/>
      <c r="N26" s="76"/>
      <c r="O26" s="76"/>
      <c r="P26" s="76"/>
      <c r="Q26" s="103"/>
      <c r="R26" s="88">
        <v>10</v>
      </c>
      <c r="S26" s="105">
        <f ca="1"/>
        <v>29019.88</v>
      </c>
      <c r="T26" s="105">
        <f ca="1"/>
        <v>29021.73</v>
      </c>
      <c r="U26" s="105">
        <f ca="1"/>
        <v>29067.8</v>
      </c>
      <c r="V26" s="105">
        <f ca="1"/>
        <v>29022.75</v>
      </c>
    </row>
    <row r="27" spans="9:22" ht="20.25" customHeight="1" x14ac:dyDescent="0.2">
      <c r="I27" s="155" t="s">
        <v>235</v>
      </c>
      <c r="J27" s="156"/>
      <c r="K27" s="156"/>
      <c r="L27" s="156"/>
      <c r="M27" s="156"/>
      <c r="N27" s="156"/>
      <c r="O27" s="156"/>
      <c r="P27" s="157"/>
      <c r="Q27" s="103"/>
      <c r="R27" s="88">
        <v>11</v>
      </c>
      <c r="S27" s="105">
        <f ca="1"/>
        <v>29019.88</v>
      </c>
      <c r="T27" s="105">
        <f ca="1"/>
        <v>29021.73</v>
      </c>
      <c r="U27" s="105">
        <f ca="1"/>
        <v>29067.8</v>
      </c>
      <c r="V27" s="105">
        <f ca="1"/>
        <v>29022.75</v>
      </c>
    </row>
    <row r="28" spans="9:22" ht="20.25" customHeight="1" x14ac:dyDescent="0.2">
      <c r="I28" s="158"/>
      <c r="J28" s="159"/>
      <c r="K28" s="159"/>
      <c r="L28" s="159"/>
      <c r="M28" s="159"/>
      <c r="N28" s="159"/>
      <c r="O28" s="159"/>
      <c r="P28" s="160"/>
      <c r="Q28" s="103"/>
      <c r="R28" s="88">
        <v>12</v>
      </c>
      <c r="S28" s="105">
        <f ca="1"/>
        <v>29019.88</v>
      </c>
      <c r="T28" s="105">
        <f ca="1"/>
        <v>29021.73</v>
      </c>
      <c r="U28" s="105">
        <f ca="1"/>
        <v>29067.8</v>
      </c>
      <c r="V28" s="105">
        <f ca="1"/>
        <v>29022.75</v>
      </c>
    </row>
    <row r="29" spans="9:22" ht="20.25" customHeight="1" x14ac:dyDescent="0.2">
      <c r="I29" s="161"/>
      <c r="J29" s="162"/>
      <c r="K29" s="162"/>
      <c r="L29" s="162"/>
      <c r="M29" s="162"/>
      <c r="N29" s="162"/>
      <c r="O29" s="162"/>
      <c r="P29" s="163"/>
      <c r="Q29" s="103"/>
      <c r="R29" s="88">
        <v>13</v>
      </c>
      <c r="S29" s="105">
        <f ca="1"/>
        <v>29019.88</v>
      </c>
      <c r="T29" s="105">
        <f ca="1"/>
        <v>29021.73</v>
      </c>
      <c r="U29" s="105">
        <f ca="1"/>
        <v>29067.8</v>
      </c>
      <c r="V29" s="105">
        <f ca="1"/>
        <v>29022.75</v>
      </c>
    </row>
    <row r="30" spans="9:22" ht="20.25" customHeight="1" x14ac:dyDescent="0.2">
      <c r="I30" s="161"/>
      <c r="J30" s="162"/>
      <c r="K30" s="162"/>
      <c r="L30" s="162"/>
      <c r="M30" s="162"/>
      <c r="N30" s="162"/>
      <c r="O30" s="162"/>
      <c r="P30" s="163"/>
      <c r="Q30" s="103"/>
      <c r="R30" s="88">
        <v>14</v>
      </c>
      <c r="S30" s="105">
        <f ca="1"/>
        <v>29019.88</v>
      </c>
      <c r="T30" s="105">
        <f ca="1"/>
        <v>29021.73</v>
      </c>
      <c r="U30" s="105">
        <f ca="1"/>
        <v>29067.8</v>
      </c>
      <c r="V30" s="105">
        <f ca="1"/>
        <v>29022.75</v>
      </c>
    </row>
    <row r="31" spans="9:22" ht="20.25" customHeight="1" x14ac:dyDescent="0.2">
      <c r="I31" s="161"/>
      <c r="J31" s="162"/>
      <c r="K31" s="162"/>
      <c r="L31" s="162"/>
      <c r="M31" s="162"/>
      <c r="N31" s="162"/>
      <c r="O31" s="162"/>
      <c r="P31" s="163"/>
      <c r="Q31" s="103"/>
      <c r="R31" s="88">
        <v>15</v>
      </c>
      <c r="S31" s="105">
        <f ca="1"/>
        <v>29019.88</v>
      </c>
      <c r="T31" s="105">
        <f ca="1"/>
        <v>29021.73</v>
      </c>
      <c r="U31" s="105">
        <f ca="1"/>
        <v>29067.8</v>
      </c>
      <c r="V31" s="105">
        <f ca="1"/>
        <v>29022.75</v>
      </c>
    </row>
    <row r="32" spans="9:22" ht="20.25" customHeight="1" x14ac:dyDescent="0.2">
      <c r="I32" s="161"/>
      <c r="J32" s="162"/>
      <c r="K32" s="162"/>
      <c r="L32" s="162"/>
      <c r="M32" s="162"/>
      <c r="N32" s="162"/>
      <c r="O32" s="162"/>
      <c r="P32" s="163"/>
      <c r="Q32" s="103"/>
      <c r="R32" s="88">
        <v>16</v>
      </c>
      <c r="S32" s="105">
        <f ca="1"/>
        <v>29019.88</v>
      </c>
      <c r="T32" s="105">
        <f ca="1"/>
        <v>29021.73</v>
      </c>
      <c r="U32" s="105">
        <f ca="1"/>
        <v>29067.8</v>
      </c>
      <c r="V32" s="105">
        <f ca="1"/>
        <v>29022.75</v>
      </c>
    </row>
    <row r="33" spans="9:22" ht="20.25" customHeight="1" x14ac:dyDescent="0.2">
      <c r="I33" s="161"/>
      <c r="J33" s="162"/>
      <c r="K33" s="162"/>
      <c r="L33" s="162"/>
      <c r="M33" s="162"/>
      <c r="N33" s="162"/>
      <c r="O33" s="162"/>
      <c r="P33" s="163"/>
      <c r="Q33" s="103"/>
      <c r="R33" s="88">
        <v>17</v>
      </c>
      <c r="S33" s="105">
        <f ca="1"/>
        <v>29019.88</v>
      </c>
      <c r="T33" s="105">
        <f ca="1"/>
        <v>29021.73</v>
      </c>
      <c r="U33" s="105">
        <f ca="1"/>
        <v>29067.8</v>
      </c>
      <c r="V33" s="105">
        <f ca="1"/>
        <v>29022.75</v>
      </c>
    </row>
    <row r="34" spans="9:22" ht="20.25" customHeight="1" x14ac:dyDescent="0.2">
      <c r="I34" s="161"/>
      <c r="J34" s="162"/>
      <c r="K34" s="162"/>
      <c r="L34" s="162"/>
      <c r="M34" s="162"/>
      <c r="N34" s="162"/>
      <c r="O34" s="162"/>
      <c r="P34" s="163"/>
      <c r="Q34" s="103"/>
      <c r="R34" s="88">
        <v>18</v>
      </c>
      <c r="S34" s="105">
        <f ca="1"/>
        <v>29019.88</v>
      </c>
      <c r="T34" s="105">
        <f ca="1"/>
        <v>29021.73</v>
      </c>
      <c r="U34" s="105">
        <f ca="1"/>
        <v>29067.8</v>
      </c>
      <c r="V34" s="105">
        <f ca="1"/>
        <v>29022.75</v>
      </c>
    </row>
    <row r="35" spans="9:22" ht="20.25" customHeight="1" x14ac:dyDescent="0.2">
      <c r="I35" s="161"/>
      <c r="J35" s="162"/>
      <c r="K35" s="162"/>
      <c r="L35" s="162"/>
      <c r="M35" s="162"/>
      <c r="N35" s="162"/>
      <c r="O35" s="162"/>
      <c r="P35" s="163"/>
      <c r="Q35" s="103"/>
      <c r="R35" s="88">
        <v>19</v>
      </c>
      <c r="S35" s="105">
        <f ca="1"/>
        <v>29019.88</v>
      </c>
      <c r="T35" s="105">
        <f ca="1"/>
        <v>29021.73</v>
      </c>
      <c r="U35" s="105">
        <f ca="1"/>
        <v>29067.8</v>
      </c>
      <c r="V35" s="105">
        <f ca="1"/>
        <v>29022.75</v>
      </c>
    </row>
    <row r="36" spans="9:22" ht="20.25" customHeight="1" x14ac:dyDescent="0.2">
      <c r="I36" s="161"/>
      <c r="J36" s="162"/>
      <c r="K36" s="162"/>
      <c r="L36" s="162"/>
      <c r="M36" s="162"/>
      <c r="N36" s="162"/>
      <c r="O36" s="162"/>
      <c r="P36" s="163"/>
      <c r="Q36" s="103"/>
      <c r="R36" s="88">
        <v>20</v>
      </c>
      <c r="S36" s="105">
        <f ca="1"/>
        <v>29019.88</v>
      </c>
      <c r="T36" s="105">
        <f ca="1"/>
        <v>29021.73</v>
      </c>
      <c r="U36" s="105">
        <f ca="1"/>
        <v>29067.8</v>
      </c>
      <c r="V36" s="105">
        <f ca="1"/>
        <v>29022.75</v>
      </c>
    </row>
    <row r="37" spans="9:22" ht="20.25" customHeight="1" x14ac:dyDescent="0.2">
      <c r="I37" s="164"/>
      <c r="J37" s="165"/>
      <c r="K37" s="165"/>
      <c r="L37" s="165"/>
      <c r="M37" s="165"/>
      <c r="N37" s="165"/>
      <c r="O37" s="165"/>
      <c r="P37" s="166"/>
      <c r="Q37" s="104"/>
      <c r="R37" s="88">
        <v>21</v>
      </c>
      <c r="S37" s="105">
        <f ca="1"/>
        <v>29019.88</v>
      </c>
      <c r="T37" s="105">
        <f ca="1"/>
        <v>29021.73</v>
      </c>
      <c r="U37" s="105">
        <f ca="1"/>
        <v>29067.8</v>
      </c>
      <c r="V37" s="105">
        <f ca="1"/>
        <v>29022.75</v>
      </c>
    </row>
    <row r="38" spans="9:22" ht="20.25" customHeight="1" x14ac:dyDescent="0.2"/>
    <row r="39" spans="9:22" hidden="1" x14ac:dyDescent="0.2"/>
    <row r="40" spans="9:22" hidden="1" x14ac:dyDescent="0.2"/>
    <row r="41" spans="9:22" hidden="1" x14ac:dyDescent="0.2"/>
    <row r="42" spans="9:22" hidden="1" x14ac:dyDescent="0.2"/>
    <row r="43" spans="9:22" hidden="1" x14ac:dyDescent="0.2"/>
    <row r="44" spans="9:22" hidden="1" x14ac:dyDescent="0.2"/>
    <row r="45" spans="9:22" hidden="1" x14ac:dyDescent="0.2"/>
    <row r="46" spans="9:22" hidden="1" x14ac:dyDescent="0.2"/>
    <row r="47" spans="9:22" hidden="1" x14ac:dyDescent="0.2"/>
    <row r="48" spans="9:22" hidden="1" x14ac:dyDescent="0.2"/>
    <row r="49" hidden="1" x14ac:dyDescent="0.2"/>
    <row r="50" hidden="1" x14ac:dyDescent="0.2"/>
    <row r="51" hidden="1" x14ac:dyDescent="0.2"/>
    <row r="52" hidden="1" x14ac:dyDescent="0.2"/>
    <row r="53" hidden="1" x14ac:dyDescent="0.2"/>
    <row r="54" hidden="1" x14ac:dyDescent="0.2"/>
    <row r="55" hidden="1" x14ac:dyDescent="0.2"/>
    <row r="56" hidden="1" x14ac:dyDescent="0.2"/>
    <row r="57" hidden="1" x14ac:dyDescent="0.2"/>
    <row r="58" hidden="1" x14ac:dyDescent="0.2"/>
    <row r="59" hidden="1" x14ac:dyDescent="0.2"/>
    <row r="60" hidden="1" x14ac:dyDescent="0.2"/>
    <row r="61" hidden="1" x14ac:dyDescent="0.2"/>
    <row r="62" hidden="1" x14ac:dyDescent="0.2"/>
    <row r="63" hidden="1" x14ac:dyDescent="0.2"/>
    <row r="64" hidden="1" x14ac:dyDescent="0.2"/>
    <row r="65" hidden="1" x14ac:dyDescent="0.2"/>
    <row r="66" hidden="1" x14ac:dyDescent="0.2"/>
    <row r="67" hidden="1" x14ac:dyDescent="0.2"/>
    <row r="68" hidden="1" x14ac:dyDescent="0.2"/>
    <row r="69" ht="14.25" hidden="1" customHeight="1" x14ac:dyDescent="0.2"/>
    <row r="70" ht="14.25" hidden="1" customHeight="1" x14ac:dyDescent="0.2"/>
    <row r="71" ht="14.25" hidden="1" customHeight="1" x14ac:dyDescent="0.2"/>
    <row r="72" ht="14.25" hidden="1" customHeight="1" x14ac:dyDescent="0.2"/>
    <row r="73" ht="14.25" hidden="1" customHeight="1" x14ac:dyDescent="0.2"/>
    <row r="74" ht="14.25" hidden="1" customHeight="1" x14ac:dyDescent="0.2"/>
    <row r="75" ht="14.25" hidden="1" customHeight="1" x14ac:dyDescent="0.2"/>
    <row r="76" ht="14.25" hidden="1" customHeight="1" x14ac:dyDescent="0.2"/>
    <row r="77" ht="14.25" hidden="1" customHeight="1" x14ac:dyDescent="0.2"/>
    <row r="78" ht="14.25" hidden="1" customHeight="1" x14ac:dyDescent="0.2"/>
    <row r="79" ht="14.25" hidden="1" customHeight="1" x14ac:dyDescent="0.2"/>
    <row r="80" ht="14.25" hidden="1" customHeight="1" x14ac:dyDescent="0.2"/>
    <row r="81" ht="14.25" hidden="1" customHeight="1" x14ac:dyDescent="0.2"/>
    <row r="82" ht="14.25" hidden="1" customHeight="1" x14ac:dyDescent="0.2"/>
    <row r="83" ht="14.25" hidden="1" customHeight="1" x14ac:dyDescent="0.2"/>
    <row r="84" ht="14.25" hidden="1" customHeight="1" x14ac:dyDescent="0.2"/>
    <row r="85" ht="14.25" hidden="1" customHeight="1" x14ac:dyDescent="0.2"/>
    <row r="86" ht="14.25" hidden="1" customHeight="1" x14ac:dyDescent="0.2"/>
  </sheetData>
  <sheetProtection sheet="1" objects="1" scenarios="1" selectLockedCells="1"/>
  <mergeCells count="2">
    <mergeCell ref="I27:P27"/>
    <mergeCell ref="I28:P37"/>
  </mergeCells>
  <conditionalFormatting sqref="S17:V37">
    <cfRule type="containsErrors" dxfId="10" priority="2">
      <formula>ISERROR(S17)</formula>
    </cfRule>
  </conditionalFormatting>
  <pageMargins left="0.7" right="0.7" top="0.75" bottom="0.75" header="0.3" footer="0.3"/>
  <pageSetup paperSize="9" orientation="portrait" horizontalDpi="1200" verticalDpi="1200" r:id="rId1"/>
  <drawing r:id="rId2"/>
  <extLst>
    <ext xmlns:x14="http://schemas.microsoft.com/office/spreadsheetml/2009/9/main" uri="{A8765BA9-456A-4dab-B4F3-ACF838C121DE}">
      <x14:slicerList>
        <x14:slicer r:id="rId3"/>
      </x14:slicerList>
    </ext>
  </extLst>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0824769-B991-44C9-8648-1612B177D8B7}">
  <dimension ref="A1:F85"/>
  <sheetViews>
    <sheetView showGridLines="0" zoomScaleNormal="100" workbookViewId="0">
      <selection activeCell="F63" sqref="F63"/>
    </sheetView>
  </sheetViews>
  <sheetFormatPr baseColWidth="10" defaultRowHeight="20.25" x14ac:dyDescent="0.2"/>
  <cols>
    <col min="1" max="1" width="7.75" style="107" customWidth="1"/>
    <col min="2" max="6" width="45" style="107" customWidth="1"/>
    <col min="7" max="16384" width="11" style="107"/>
  </cols>
  <sheetData>
    <row r="1" spans="1:6" s="113" customFormat="1" ht="21" thickBot="1" x14ac:dyDescent="0.25">
      <c r="A1" s="123" t="s">
        <v>197</v>
      </c>
      <c r="B1" s="108" t="s">
        <v>192</v>
      </c>
      <c r="C1" s="109" t="s">
        <v>193</v>
      </c>
      <c r="D1" s="110" t="s">
        <v>196</v>
      </c>
      <c r="E1" s="111" t="s">
        <v>194</v>
      </c>
      <c r="F1" s="112" t="s">
        <v>195</v>
      </c>
    </row>
    <row r="2" spans="1:6" s="113" customFormat="1" ht="21" thickTop="1" x14ac:dyDescent="0.2">
      <c r="A2" s="124">
        <f t="shared" ref="A2:A3" si="0">ROW()-1</f>
        <v>1</v>
      </c>
      <c r="B2" s="114">
        <f t="array" ref="B2">IFERROR(INDEX(Table_BDD[[Trade n°]:[Note du résultat]],SMALL(IF(Table_BDD[Note du résultat]="++",ROW(Table_BDD[Note du résultat])),ROWS(BDD!$M4:M$4))-3,1),"")</f>
        <v>24</v>
      </c>
      <c r="C2" s="115">
        <f t="array" ref="C2">IFERROR(INDEX(Table_BDD[[Trade n°]:[Note du résultat]],SMALL(IF(Table_BDD[Note du résultat]="+",ROW(Table_BDD[Note du résultat])),ROWS(BDD!$M4:N$4))-3,1),"")</f>
        <v>5</v>
      </c>
      <c r="D2" s="116">
        <f t="array" ref="D2">IFERROR(INDEX(Table_BDD[[Trade n°]:[Note du résultat]],SMALL(IF(Table_BDD[Note du résultat]="0",ROW(Table_BDD[Note du résultat])),ROWS(BDD!$M4:O$4))-3,1),"")</f>
        <v>1</v>
      </c>
      <c r="E2" s="117">
        <f t="array" ref="E2">IFERROR(INDEX(Table_BDD[[Trade n°]:[Note du résultat]],SMALL(IF(Table_BDD[Note du résultat]="-",ROW(Table_BDD[Note du résultat])),ROWS(BDD!$M4:P$4))-3,1),"")</f>
        <v>38</v>
      </c>
      <c r="F2" s="118">
        <f t="array" ref="F2">IFERROR(INDEX(Table_BDD[[Trade n°]:[Note du résultat]],SMALL(IF(Table_BDD[Note du résultat]="--",ROW(Table_BDD[Note du résultat])),ROWS(BDD!$M4:Q$4))-3,1),"")</f>
        <v>2</v>
      </c>
    </row>
    <row r="3" spans="1:6" s="113" customFormat="1" x14ac:dyDescent="0.2">
      <c r="A3" s="125">
        <f t="shared" si="0"/>
        <v>2</v>
      </c>
      <c r="B3" s="126">
        <f t="array" ref="B3">IFERROR(INDEX(Table_BDD[[Trade n°]:[Note du résultat]],SMALL(IF(Table_BDD[Note du résultat]="++",ROW(Table_BDD[Note du résultat])),ROWS(BDD!$M$4:M5))-3,1),"")</f>
        <v>44</v>
      </c>
      <c r="C3" s="119">
        <f t="array" ref="C3">IFERROR(INDEX(Table_BDD[[Trade n°]:[Note du résultat]],SMALL(IF(Table_BDD[Note du résultat]="+",ROW(Table_BDD[Note du résultat])),ROWS(BDD!$M$4:N5))-3,1),"")</f>
        <v>6</v>
      </c>
      <c r="D3" s="120">
        <f t="array" ref="D3">IFERROR(INDEX(Table_BDD[[Trade n°]:[Note du résultat]],SMALL(IF(Table_BDD[Note du résultat]="0",ROW(Table_BDD[Note du résultat])),ROWS(BDD!$M$4:O5))-3,1),"")</f>
        <v>12</v>
      </c>
      <c r="E3" s="121" t="str">
        <f t="array" ref="E3">IFERROR(INDEX(Table_BDD[[Trade n°]:[Note du résultat]],SMALL(IF(Table_BDD[Note du résultat]="-",ROW(Table_BDD[Note du résultat])),ROWS(BDD!$M$4:P5))-3,1),"")</f>
        <v/>
      </c>
      <c r="F3" s="122">
        <f t="array" ref="F3">IFERROR(INDEX(Table_BDD[[Trade n°]:[Note du résultat]],SMALL(IF(Table_BDD[Note du résultat]="--",ROW(Table_BDD[Note du résultat])),ROWS(BDD!$M$4:Q5))-3,1),"")</f>
        <v>3</v>
      </c>
    </row>
    <row r="4" spans="1:6" x14ac:dyDescent="0.2">
      <c r="A4" s="124">
        <f t="shared" ref="A4:A17" si="1">ROW()-1</f>
        <v>3</v>
      </c>
      <c r="B4" s="114">
        <f t="array" ref="B4">IFERROR(INDEX(Table_BDD[[Trade n°]:[Note du résultat]],SMALL(IF(Table_BDD[Note du résultat]="++",ROW(Table_BDD[Note du résultat])),ROWS(BDD!$M$4:M6))-3,1),"")</f>
        <v>55</v>
      </c>
      <c r="C4" s="115">
        <f t="array" ref="C4">IFERROR(INDEX(Table_BDD[[Trade n°]:[Note du résultat]],SMALL(IF(Table_BDD[Note du résultat]="+",ROW(Table_BDD[Note du résultat])),ROWS(BDD!$M$4:N6))-3,1),"")</f>
        <v>11</v>
      </c>
      <c r="D4" s="116">
        <f t="array" ref="D4">IFERROR(INDEX(Table_BDD[[Trade n°]:[Note du résultat]],SMALL(IF(Table_BDD[Note du résultat]="0",ROW(Table_BDD[Note du résultat])),ROWS(BDD!$M$4:O6))-3,1),"")</f>
        <v>45</v>
      </c>
      <c r="E4" s="117" t="str">
        <f t="array" ref="E4">IFERROR(INDEX(Table_BDD[[Trade n°]:[Note du résultat]],SMALL(IF(Table_BDD[Note du résultat]="-",ROW(Table_BDD[Note du résultat])),ROWS(BDD!$M$4:P6))-3,1),"")</f>
        <v/>
      </c>
      <c r="F4" s="118">
        <f t="array" ref="F4">IFERROR(INDEX(Table_BDD[[Trade n°]:[Note du résultat]],SMALL(IF(Table_BDD[Note du résultat]="--",ROW(Table_BDD[Note du résultat])),ROWS(BDD!$M$4:Q6))-3,1),"")</f>
        <v>4</v>
      </c>
    </row>
    <row r="5" spans="1:6" x14ac:dyDescent="0.2">
      <c r="A5" s="125">
        <f t="shared" si="1"/>
        <v>4</v>
      </c>
      <c r="B5" s="126">
        <f t="array" ref="B5">IFERROR(INDEX(Table_BDD[[Trade n°]:[Note du résultat]],SMALL(IF(Table_BDD[Note du résultat]="++",ROW(Table_BDD[Note du résultat])),ROWS(BDD!$M$4:M7))-3,1),"")</f>
        <v>144</v>
      </c>
      <c r="C5" s="119">
        <f t="array" ref="C5">IFERROR(INDEX(Table_BDD[[Trade n°]:[Note du résultat]],SMALL(IF(Table_BDD[Note du résultat]="+",ROW(Table_BDD[Note du résultat])),ROWS(BDD!$M$4:N7))-3,1),"")</f>
        <v>59</v>
      </c>
      <c r="D5" s="120">
        <f t="array" ref="D5">IFERROR(INDEX(Table_BDD[[Trade n°]:[Note du résultat]],SMALL(IF(Table_BDD[Note du résultat]="0",ROW(Table_BDD[Note du résultat])),ROWS(BDD!$M$4:O7))-3,1),"")</f>
        <v>56</v>
      </c>
      <c r="E5" s="121" t="str">
        <f t="array" ref="E5">IFERROR(INDEX(Table_BDD[[Trade n°]:[Note du résultat]],SMALL(IF(Table_BDD[Note du résultat]="-",ROW(Table_BDD[Note du résultat])),ROWS(BDD!$M$4:P7))-3,1),"")</f>
        <v/>
      </c>
      <c r="F5" s="122">
        <f t="array" ref="F5">IFERROR(INDEX(Table_BDD[[Trade n°]:[Note du résultat]],SMALL(IF(Table_BDD[Note du résultat]="--",ROW(Table_BDD[Note du résultat])),ROWS(BDD!$M$4:Q7))-3,1),"")</f>
        <v>7</v>
      </c>
    </row>
    <row r="6" spans="1:6" x14ac:dyDescent="0.2">
      <c r="A6" s="124">
        <f t="shared" si="1"/>
        <v>5</v>
      </c>
      <c r="B6" s="114">
        <f t="array" ref="B6">IFERROR(INDEX(Table_BDD[[Trade n°]:[Note du résultat]],SMALL(IF(Table_BDD[Note du résultat]="++",ROW(Table_BDD[Note du résultat])),ROWS(BDD!$M$4:M8))-3,1),"")</f>
        <v>154</v>
      </c>
      <c r="C6" s="115">
        <f t="array" ref="C6">IFERROR(INDEX(Table_BDD[[Trade n°]:[Note du résultat]],SMALL(IF(Table_BDD[Note du résultat]="+",ROW(Table_BDD[Note du résultat])),ROWS(BDD!$M$4:N8))-3,1),"")</f>
        <v>61</v>
      </c>
      <c r="D6" s="116">
        <f t="array" ref="D6">IFERROR(INDEX(Table_BDD[[Trade n°]:[Note du résultat]],SMALL(IF(Table_BDD[Note du résultat]="0",ROW(Table_BDD[Note du résultat])),ROWS(BDD!$M$4:O8))-3,1),"")</f>
        <v>57</v>
      </c>
      <c r="E6" s="117" t="str">
        <f t="array" ref="E6">IFERROR(INDEX(Table_BDD[[Trade n°]:[Note du résultat]],SMALL(IF(Table_BDD[Note du résultat]="-",ROW(Table_BDD[Note du résultat])),ROWS(BDD!$M$4:P8))-3,1),"")</f>
        <v/>
      </c>
      <c r="F6" s="118">
        <f t="array" ref="F6">IFERROR(INDEX(Table_BDD[[Trade n°]:[Note du résultat]],SMALL(IF(Table_BDD[Note du résultat]="--",ROW(Table_BDD[Note du résultat])),ROWS(BDD!$M$4:Q8))-3,1),"")</f>
        <v>8</v>
      </c>
    </row>
    <row r="7" spans="1:6" x14ac:dyDescent="0.2">
      <c r="A7" s="125">
        <f t="shared" si="1"/>
        <v>6</v>
      </c>
      <c r="B7" s="126" t="str">
        <f t="array" ref="B7">IFERROR(INDEX(Table_BDD[[Trade n°]:[Note du résultat]],SMALL(IF(Table_BDD[Note du résultat]="++",ROW(Table_BDD[Note du résultat])),ROWS(BDD!$M$4:M9))-3,1),"")</f>
        <v/>
      </c>
      <c r="C7" s="119">
        <f t="array" ref="C7">IFERROR(INDEX(Table_BDD[[Trade n°]:[Note du résultat]],SMALL(IF(Table_BDD[Note du résultat]="+",ROW(Table_BDD[Note du résultat])),ROWS(BDD!$M$4:N9))-3,1),"")</f>
        <v>94</v>
      </c>
      <c r="D7" s="120">
        <f t="array" ref="D7">IFERROR(INDEX(Table_BDD[[Trade n°]:[Note du résultat]],SMALL(IF(Table_BDD[Note du résultat]="0",ROW(Table_BDD[Note du résultat])),ROWS(BDD!$M$4:O9))-3,1),"")</f>
        <v>58</v>
      </c>
      <c r="E7" s="121" t="str">
        <f t="array" ref="E7">IFERROR(INDEX(Table_BDD[[Trade n°]:[Note du résultat]],SMALL(IF(Table_BDD[Note du résultat]="-",ROW(Table_BDD[Note du résultat])),ROWS(BDD!$M$4:P9))-3,1),"")</f>
        <v/>
      </c>
      <c r="F7" s="122">
        <f t="array" ref="F7">IFERROR(INDEX(Table_BDD[[Trade n°]:[Note du résultat]],SMALL(IF(Table_BDD[Note du résultat]="--",ROW(Table_BDD[Note du résultat])),ROWS(BDD!$M$4:Q9))-3,1),"")</f>
        <v>9</v>
      </c>
    </row>
    <row r="8" spans="1:6" x14ac:dyDescent="0.2">
      <c r="A8" s="124">
        <f t="shared" si="1"/>
        <v>7</v>
      </c>
      <c r="B8" s="114" t="str">
        <f t="array" ref="B8">IFERROR(INDEX(Table_BDD[[Trade n°]:[Note du résultat]],SMALL(IF(Table_BDD[Note du résultat]="++",ROW(Table_BDD[Note du résultat])),ROWS(BDD!$M$4:M10))-3,1),"")</f>
        <v/>
      </c>
      <c r="C8" s="115">
        <f t="array" ref="C8">IFERROR(INDEX(Table_BDD[[Trade n°]:[Note du résultat]],SMALL(IF(Table_BDD[Note du résultat]="+",ROW(Table_BDD[Note du résultat])),ROWS(BDD!$M$4:N10))-3,1),"")</f>
        <v>132</v>
      </c>
      <c r="D8" s="116">
        <f t="array" ref="D8">IFERROR(INDEX(Table_BDD[[Trade n°]:[Note du résultat]],SMALL(IF(Table_BDD[Note du résultat]="0",ROW(Table_BDD[Note du résultat])),ROWS(BDD!$M$4:O10))-3,1),"")</f>
        <v>64</v>
      </c>
      <c r="E8" s="117" t="str">
        <f t="array" ref="E8">IFERROR(INDEX(Table_BDD[[Trade n°]:[Note du résultat]],SMALL(IF(Table_BDD[Note du résultat]="-",ROW(Table_BDD[Note du résultat])),ROWS(BDD!$M$4:P10))-3,1),"")</f>
        <v/>
      </c>
      <c r="F8" s="118">
        <f t="array" ref="F8">IFERROR(INDEX(Table_BDD[[Trade n°]:[Note du résultat]],SMALL(IF(Table_BDD[Note du résultat]="--",ROW(Table_BDD[Note du résultat])),ROWS(BDD!$M$4:Q10))-3,1),"")</f>
        <v>10</v>
      </c>
    </row>
    <row r="9" spans="1:6" x14ac:dyDescent="0.2">
      <c r="A9" s="125">
        <f t="shared" si="1"/>
        <v>8</v>
      </c>
      <c r="B9" s="126" t="str">
        <f t="array" ref="B9">IFERROR(INDEX(Table_BDD[[Trade n°]:[Note du résultat]],SMALL(IF(Table_BDD[Note du résultat]="++",ROW(Table_BDD[Note du résultat])),ROWS(BDD!$M$4:M11))-3,1),"")</f>
        <v/>
      </c>
      <c r="C9" s="119">
        <f t="array" ref="C9">IFERROR(INDEX(Table_BDD[[Trade n°]:[Note du résultat]],SMALL(IF(Table_BDD[Note du résultat]="+",ROW(Table_BDD[Note du résultat])),ROWS(BDD!$M$4:N11))-3,1),"")</f>
        <v>134</v>
      </c>
      <c r="D9" s="120">
        <f t="array" ref="D9">IFERROR(INDEX(Table_BDD[[Trade n°]:[Note du résultat]],SMALL(IF(Table_BDD[Note du résultat]="0",ROW(Table_BDD[Note du résultat])),ROWS(BDD!$M$4:O11))-3,1),"")</f>
        <v>74</v>
      </c>
      <c r="E9" s="121" t="str">
        <f t="array" ref="E9">IFERROR(INDEX(Table_BDD[[Trade n°]:[Note du résultat]],SMALL(IF(Table_BDD[Note du résultat]="-",ROW(Table_BDD[Note du résultat])),ROWS(BDD!$M$4:P11))-3,1),"")</f>
        <v/>
      </c>
      <c r="F9" s="122">
        <f t="array" ref="F9">IFERROR(INDEX(Table_BDD[[Trade n°]:[Note du résultat]],SMALL(IF(Table_BDD[Note du résultat]="--",ROW(Table_BDD[Note du résultat])),ROWS(BDD!$M$4:Q11))-3,1),"")</f>
        <v>13</v>
      </c>
    </row>
    <row r="10" spans="1:6" x14ac:dyDescent="0.2">
      <c r="A10" s="124">
        <f t="shared" si="1"/>
        <v>9</v>
      </c>
      <c r="B10" s="114" t="str">
        <f t="array" ref="B10">IFERROR(INDEX(Table_BDD[[Trade n°]:[Note du résultat]],SMALL(IF(Table_BDD[Note du résultat]="++",ROW(Table_BDD[Note du résultat])),ROWS(BDD!$M$4:M12))-3,1),"")</f>
        <v/>
      </c>
      <c r="C10" s="115">
        <f t="array" ref="C10">IFERROR(INDEX(Table_BDD[[Trade n°]:[Note du résultat]],SMALL(IF(Table_BDD[Note du résultat]="+",ROW(Table_BDD[Note du résultat])),ROWS(BDD!$M$4:N12))-3,1),"")</f>
        <v>138</v>
      </c>
      <c r="D10" s="116">
        <f t="array" ref="D10">IFERROR(INDEX(Table_BDD[[Trade n°]:[Note du résultat]],SMALL(IF(Table_BDD[Note du résultat]="0",ROW(Table_BDD[Note du résultat])),ROWS(BDD!$M$4:O12))-3,1),"")</f>
        <v>87</v>
      </c>
      <c r="E10" s="117" t="str">
        <f t="array" ref="E10">IFERROR(INDEX(Table_BDD[[Trade n°]:[Note du résultat]],SMALL(IF(Table_BDD[Note du résultat]="-",ROW(Table_BDD[Note du résultat])),ROWS(BDD!$M$4:P12))-3,1),"")</f>
        <v/>
      </c>
      <c r="F10" s="118">
        <f t="array" ref="F10">IFERROR(INDEX(Table_BDD[[Trade n°]:[Note du résultat]],SMALL(IF(Table_BDD[Note du résultat]="--",ROW(Table_BDD[Note du résultat])),ROWS(BDD!$M$4:Q12))-3,1),"")</f>
        <v>14</v>
      </c>
    </row>
    <row r="11" spans="1:6" x14ac:dyDescent="0.2">
      <c r="A11" s="125">
        <f t="shared" si="1"/>
        <v>10</v>
      </c>
      <c r="B11" s="126" t="str">
        <f t="array" ref="B11">IFERROR(INDEX(Table_BDD[[Trade n°]:[Note du résultat]],SMALL(IF(Table_BDD[Note du résultat]="++",ROW(Table_BDD[Note du résultat])),ROWS(BDD!$M$4:M13))-3,1),"")</f>
        <v/>
      </c>
      <c r="C11" s="119">
        <f t="array" ref="C11">IFERROR(INDEX(Table_BDD[[Trade n°]:[Note du résultat]],SMALL(IF(Table_BDD[Note du résultat]="+",ROW(Table_BDD[Note du résultat])),ROWS(BDD!$M$4:N13))-3,1),"")</f>
        <v>157</v>
      </c>
      <c r="D11" s="120">
        <f t="array" ref="D11">IFERROR(INDEX(Table_BDD[[Trade n°]:[Note du résultat]],SMALL(IF(Table_BDD[Note du résultat]="0",ROW(Table_BDD[Note du résultat])),ROWS(BDD!$M$4:O13))-3,1),"")</f>
        <v>98</v>
      </c>
      <c r="E11" s="121" t="str">
        <f t="array" ref="E11">IFERROR(INDEX(Table_BDD[[Trade n°]:[Note du résultat]],SMALL(IF(Table_BDD[Note du résultat]="-",ROW(Table_BDD[Note du résultat])),ROWS(BDD!$M$4:P13))-3,1),"")</f>
        <v/>
      </c>
      <c r="F11" s="122">
        <f t="array" ref="F11">IFERROR(INDEX(Table_BDD[[Trade n°]:[Note du résultat]],SMALL(IF(Table_BDD[Note du résultat]="--",ROW(Table_BDD[Note du résultat])),ROWS(BDD!$M$4:Q13))-3,1),"")</f>
        <v>15</v>
      </c>
    </row>
    <row r="12" spans="1:6" x14ac:dyDescent="0.2">
      <c r="A12" s="124">
        <f t="shared" si="1"/>
        <v>11</v>
      </c>
      <c r="B12" s="114" t="str">
        <f t="array" ref="B12">IFERROR(INDEX(Table_BDD[[Trade n°]:[Note du résultat]],SMALL(IF(Table_BDD[Note du résultat]="++",ROW(Table_BDD[Note du résultat])),ROWS(BDD!$M$4:M14))-3,1),"")</f>
        <v/>
      </c>
      <c r="C12" s="115" t="str">
        <f t="array" ref="C12">IFERROR(INDEX(Table_BDD[[Trade n°]:[Note du résultat]],SMALL(IF(Table_BDD[Note du résultat]="+",ROW(Table_BDD[Note du résultat])),ROWS(BDD!$M$4:N14))-3,1),"")</f>
        <v/>
      </c>
      <c r="D12" s="116">
        <f t="array" ref="D12">IFERROR(INDEX(Table_BDD[[Trade n°]:[Note du résultat]],SMALL(IF(Table_BDD[Note du résultat]="0",ROW(Table_BDD[Note du résultat])),ROWS(BDD!$M$4:O14))-3,1),"")</f>
        <v>99</v>
      </c>
      <c r="E12" s="117" t="str">
        <f t="array" ref="E12">IFERROR(INDEX(Table_BDD[[Trade n°]:[Note du résultat]],SMALL(IF(Table_BDD[Note du résultat]="-",ROW(Table_BDD[Note du résultat])),ROWS(BDD!$M$4:P14))-3,1),"")</f>
        <v/>
      </c>
      <c r="F12" s="118">
        <f t="array" ref="F12">IFERROR(INDEX(Table_BDD[[Trade n°]:[Note du résultat]],SMALL(IF(Table_BDD[Note du résultat]="--",ROW(Table_BDD[Note du résultat])),ROWS(BDD!$M$4:Q14))-3,1),"")</f>
        <v>16</v>
      </c>
    </row>
    <row r="13" spans="1:6" x14ac:dyDescent="0.2">
      <c r="A13" s="125">
        <f t="shared" si="1"/>
        <v>12</v>
      </c>
      <c r="B13" s="126" t="str">
        <f t="array" ref="B13">IFERROR(INDEX(Table_BDD[[Trade n°]:[Note du résultat]],SMALL(IF(Table_BDD[Note du résultat]="++",ROW(Table_BDD[Note du résultat])),ROWS(BDD!$M$4:M15))-3,1),"")</f>
        <v/>
      </c>
      <c r="C13" s="119" t="str">
        <f t="array" ref="C13">IFERROR(INDEX(Table_BDD[[Trade n°]:[Note du résultat]],SMALL(IF(Table_BDD[Note du résultat]="+",ROW(Table_BDD[Note du résultat])),ROWS(BDD!$M$4:N15))-3,1),"")</f>
        <v/>
      </c>
      <c r="D13" s="120">
        <f t="array" ref="D13">IFERROR(INDEX(Table_BDD[[Trade n°]:[Note du résultat]],SMALL(IF(Table_BDD[Note du résultat]="0",ROW(Table_BDD[Note du résultat])),ROWS(BDD!$M$4:O15))-3,1),"")</f>
        <v>101</v>
      </c>
      <c r="E13" s="121" t="str">
        <f t="array" ref="E13">IFERROR(INDEX(Table_BDD[[Trade n°]:[Note du résultat]],SMALL(IF(Table_BDD[Note du résultat]="-",ROW(Table_BDD[Note du résultat])),ROWS(BDD!$M$4:P15))-3,1),"")</f>
        <v/>
      </c>
      <c r="F13" s="122">
        <f t="array" ref="F13">IFERROR(INDEX(Table_BDD[[Trade n°]:[Note du résultat]],SMALL(IF(Table_BDD[Note du résultat]="--",ROW(Table_BDD[Note du résultat])),ROWS(BDD!$M$4:Q15))-3,1),"")</f>
        <v>17</v>
      </c>
    </row>
    <row r="14" spans="1:6" x14ac:dyDescent="0.2">
      <c r="A14" s="124">
        <f t="shared" si="1"/>
        <v>13</v>
      </c>
      <c r="B14" s="114" t="str">
        <f t="array" ref="B14">IFERROR(INDEX(Table_BDD[[Trade n°]:[Note du résultat]],SMALL(IF(Table_BDD[Note du résultat]="++",ROW(Table_BDD[Note du résultat])),ROWS(BDD!$M$4:M16))-3,1),"")</f>
        <v/>
      </c>
      <c r="C14" s="115" t="str">
        <f t="array" ref="C14">IFERROR(INDEX(Table_BDD[[Trade n°]:[Note du résultat]],SMALL(IF(Table_BDD[Note du résultat]="+",ROW(Table_BDD[Note du résultat])),ROWS(BDD!$M$4:N16))-3,1),"")</f>
        <v/>
      </c>
      <c r="D14" s="116">
        <f t="array" ref="D14">IFERROR(INDEX(Table_BDD[[Trade n°]:[Note du résultat]],SMALL(IF(Table_BDD[Note du résultat]="0",ROW(Table_BDD[Note du résultat])),ROWS(BDD!$M$4:O16))-3,1),"")</f>
        <v>102</v>
      </c>
      <c r="E14" s="117" t="str">
        <f t="array" ref="E14">IFERROR(INDEX(Table_BDD[[Trade n°]:[Note du résultat]],SMALL(IF(Table_BDD[Note du résultat]="-",ROW(Table_BDD[Note du résultat])),ROWS(BDD!$M$4:P16))-3,1),"")</f>
        <v/>
      </c>
      <c r="F14" s="118">
        <f t="array" ref="F14">IFERROR(INDEX(Table_BDD[[Trade n°]:[Note du résultat]],SMALL(IF(Table_BDD[Note du résultat]="--",ROW(Table_BDD[Note du résultat])),ROWS(BDD!$M$4:Q16))-3,1),"")</f>
        <v>18</v>
      </c>
    </row>
    <row r="15" spans="1:6" x14ac:dyDescent="0.2">
      <c r="A15" s="125">
        <f t="shared" si="1"/>
        <v>14</v>
      </c>
      <c r="B15" s="126" t="str">
        <f t="array" ref="B15">IFERROR(INDEX(Table_BDD[[Trade n°]:[Note du résultat]],SMALL(IF(Table_BDD[Note du résultat]="++",ROW(Table_BDD[Note du résultat])),ROWS(BDD!$M$4:M17))-3,1),"")</f>
        <v/>
      </c>
      <c r="C15" s="119" t="str">
        <f t="array" ref="C15">IFERROR(INDEX(Table_BDD[[Trade n°]:[Note du résultat]],SMALL(IF(Table_BDD[Note du résultat]="+",ROW(Table_BDD[Note du résultat])),ROWS(BDD!$M$4:N17))-3,1),"")</f>
        <v/>
      </c>
      <c r="D15" s="120">
        <f t="array" ref="D15">IFERROR(INDEX(Table_BDD[[Trade n°]:[Note du résultat]],SMALL(IF(Table_BDD[Note du résultat]="0",ROW(Table_BDD[Note du résultat])),ROWS(BDD!$M$4:O17))-3,1),"")</f>
        <v>103</v>
      </c>
      <c r="E15" s="121" t="str">
        <f t="array" ref="E15">IFERROR(INDEX(Table_BDD[[Trade n°]:[Note du résultat]],SMALL(IF(Table_BDD[Note du résultat]="-",ROW(Table_BDD[Note du résultat])),ROWS(BDD!$M$4:P17))-3,1),"")</f>
        <v/>
      </c>
      <c r="F15" s="122">
        <f t="array" ref="F15">IFERROR(INDEX(Table_BDD[[Trade n°]:[Note du résultat]],SMALL(IF(Table_BDD[Note du résultat]="--",ROW(Table_BDD[Note du résultat])),ROWS(BDD!$M$4:Q17))-3,1),"")</f>
        <v>19</v>
      </c>
    </row>
    <row r="16" spans="1:6" x14ac:dyDescent="0.2">
      <c r="A16" s="124">
        <f t="shared" si="1"/>
        <v>15</v>
      </c>
      <c r="B16" s="114" t="str">
        <f t="array" ref="B16">IFERROR(INDEX(Table_BDD[[Trade n°]:[Note du résultat]],SMALL(IF(Table_BDD[Note du résultat]="++",ROW(Table_BDD[Note du résultat])),ROWS(BDD!$M$4:M18))-3,1),"")</f>
        <v/>
      </c>
      <c r="C16" s="115" t="str">
        <f t="array" ref="C16">IFERROR(INDEX(Table_BDD[[Trade n°]:[Note du résultat]],SMALL(IF(Table_BDD[Note du résultat]="+",ROW(Table_BDD[Note du résultat])),ROWS(BDD!$M$4:N18))-3,1),"")</f>
        <v/>
      </c>
      <c r="D16" s="116">
        <f t="array" ref="D16">IFERROR(INDEX(Table_BDD[[Trade n°]:[Note du résultat]],SMALL(IF(Table_BDD[Note du résultat]="0",ROW(Table_BDD[Note du résultat])),ROWS(BDD!$M$4:O18))-3,1),"")</f>
        <v>105</v>
      </c>
      <c r="E16" s="117" t="str">
        <f t="array" ref="E16">IFERROR(INDEX(Table_BDD[[Trade n°]:[Note du résultat]],SMALL(IF(Table_BDD[Note du résultat]="-",ROW(Table_BDD[Note du résultat])),ROWS(BDD!$M$4:P18))-3,1),"")</f>
        <v/>
      </c>
      <c r="F16" s="118">
        <f t="array" ref="F16">IFERROR(INDEX(Table_BDD[[Trade n°]:[Note du résultat]],SMALL(IF(Table_BDD[Note du résultat]="--",ROW(Table_BDD[Note du résultat])),ROWS(BDD!$M$4:Q18))-3,1),"")</f>
        <v>20</v>
      </c>
    </row>
    <row r="17" spans="1:6" x14ac:dyDescent="0.2">
      <c r="A17" s="125">
        <f t="shared" si="1"/>
        <v>16</v>
      </c>
      <c r="B17" s="126" t="str">
        <f t="array" ref="B17">IFERROR(INDEX(Table_BDD[[Trade n°]:[Note du résultat]],SMALL(IF(Table_BDD[Note du résultat]="++",ROW(Table_BDD[Note du résultat])),ROWS(BDD!$M$4:M19))-3,1),"")</f>
        <v/>
      </c>
      <c r="C17" s="119" t="str">
        <f t="array" ref="C17">IFERROR(INDEX(Table_BDD[[Trade n°]:[Note du résultat]],SMALL(IF(Table_BDD[Note du résultat]="+",ROW(Table_BDD[Note du résultat])),ROWS(BDD!$M$4:N19))-3,1),"")</f>
        <v/>
      </c>
      <c r="D17" s="120">
        <f t="array" ref="D17">IFERROR(INDEX(Table_BDD[[Trade n°]:[Note du résultat]],SMALL(IF(Table_BDD[Note du résultat]="0",ROW(Table_BDD[Note du résultat])),ROWS(BDD!$M$4:O19))-3,1),"")</f>
        <v>107</v>
      </c>
      <c r="E17" s="121" t="str">
        <f t="array" ref="E17">IFERROR(INDEX(Table_BDD[[Trade n°]:[Note du résultat]],SMALL(IF(Table_BDD[Note du résultat]="-",ROW(Table_BDD[Note du résultat])),ROWS(BDD!$M$4:P19))-3,1),"")</f>
        <v/>
      </c>
      <c r="F17" s="122">
        <f t="array" ref="F17">IFERROR(INDEX(Table_BDD[[Trade n°]:[Note du résultat]],SMALL(IF(Table_BDD[Note du résultat]="--",ROW(Table_BDD[Note du résultat])),ROWS(BDD!$M$4:Q19))-3,1),"")</f>
        <v>21</v>
      </c>
    </row>
    <row r="18" spans="1:6" x14ac:dyDescent="0.2">
      <c r="A18" s="124">
        <f t="shared" ref="A18:A19" si="2">ROW()-1</f>
        <v>17</v>
      </c>
      <c r="B18" s="114" t="str">
        <f t="array" ref="B18">IFERROR(INDEX(Table_BDD[[Trade n°]:[Note du résultat]],SMALL(IF(Table_BDD[Note du résultat]="++",ROW(Table_BDD[Note du résultat])),ROWS(BDD!$M$4:M20))-3,1),"")</f>
        <v/>
      </c>
      <c r="C18" s="115" t="str">
        <f t="array" ref="C18">IFERROR(INDEX(Table_BDD[[Trade n°]:[Note du résultat]],SMALL(IF(Table_BDD[Note du résultat]="+",ROW(Table_BDD[Note du résultat])),ROWS(BDD!$M$4:N20))-3,1),"")</f>
        <v/>
      </c>
      <c r="D18" s="116">
        <f t="array" ref="D18">IFERROR(INDEX(Table_BDD[[Trade n°]:[Note du résultat]],SMALL(IF(Table_BDD[Note du résultat]="0",ROW(Table_BDD[Note du résultat])),ROWS(BDD!$M$4:O20))-3,1),"")</f>
        <v>117</v>
      </c>
      <c r="E18" s="117" t="str">
        <f t="array" ref="E18">IFERROR(INDEX(Table_BDD[[Trade n°]:[Note du résultat]],SMALL(IF(Table_BDD[Note du résultat]="-",ROW(Table_BDD[Note du résultat])),ROWS(BDD!$M$4:P20))-3,1),"")</f>
        <v/>
      </c>
      <c r="F18" s="118">
        <f t="array" ref="F18">IFERROR(INDEX(Table_BDD[[Trade n°]:[Note du résultat]],SMALL(IF(Table_BDD[Note du résultat]="--",ROW(Table_BDD[Note du résultat])),ROWS(BDD!$M$4:Q20))-3,1),"")</f>
        <v>22</v>
      </c>
    </row>
    <row r="19" spans="1:6" x14ac:dyDescent="0.2">
      <c r="A19" s="125">
        <f t="shared" si="2"/>
        <v>18</v>
      </c>
      <c r="B19" s="126" t="str">
        <f t="array" ref="B19">IFERROR(INDEX(Table_BDD[[Trade n°]:[Note du résultat]],SMALL(IF(Table_BDD[Note du résultat]="++",ROW(Table_BDD[Note du résultat])),ROWS(BDD!$M$4:M21))-3,1),"")</f>
        <v/>
      </c>
      <c r="C19" s="119" t="str">
        <f t="array" ref="C19">IFERROR(INDEX(Table_BDD[[Trade n°]:[Note du résultat]],SMALL(IF(Table_BDD[Note du résultat]="+",ROW(Table_BDD[Note du résultat])),ROWS(BDD!$M$4:N21))-3,1),"")</f>
        <v/>
      </c>
      <c r="D19" s="120">
        <f t="array" ref="D19">IFERROR(INDEX(Table_BDD[[Trade n°]:[Note du résultat]],SMALL(IF(Table_BDD[Note du résultat]="0",ROW(Table_BDD[Note du résultat])),ROWS(BDD!$M$4:O21))-3,1),"")</f>
        <v>145</v>
      </c>
      <c r="E19" s="121" t="str">
        <f t="array" ref="E19">IFERROR(INDEX(Table_BDD[[Trade n°]:[Note du résultat]],SMALL(IF(Table_BDD[Note du résultat]="-",ROW(Table_BDD[Note du résultat])),ROWS(BDD!$M$4:P21))-3,1),"")</f>
        <v/>
      </c>
      <c r="F19" s="122">
        <f t="array" ref="F19">IFERROR(INDEX(Table_BDD[[Trade n°]:[Note du résultat]],SMALL(IF(Table_BDD[Note du résultat]="--",ROW(Table_BDD[Note du résultat])),ROWS(BDD!$M$4:Q21))-3,1),"")</f>
        <v>23</v>
      </c>
    </row>
    <row r="20" spans="1:6" x14ac:dyDescent="0.2">
      <c r="A20" s="124">
        <f t="shared" ref="A20:A85" si="3">ROW()-1</f>
        <v>19</v>
      </c>
      <c r="B20" s="114" t="str">
        <f t="array" ref="B20">IFERROR(INDEX(Table_BDD[[Trade n°]:[Note du résultat]],SMALL(IF(Table_BDD[Note du résultat]="++",ROW(Table_BDD[Note du résultat])),ROWS(BDD!$M$4:M22))-3,1),"")</f>
        <v/>
      </c>
      <c r="C20" s="115" t="str">
        <f t="array" ref="C20">IFERROR(INDEX(Table_BDD[[Trade n°]:[Note du résultat]],SMALL(IF(Table_BDD[Note du résultat]="+",ROW(Table_BDD[Note du résultat])),ROWS(BDD!$M$4:N22))-3,1),"")</f>
        <v/>
      </c>
      <c r="D20" s="116">
        <f t="array" ref="D20">IFERROR(INDEX(Table_BDD[[Trade n°]:[Note du résultat]],SMALL(IF(Table_BDD[Note du résultat]="0",ROW(Table_BDD[Note du résultat])),ROWS(BDD!$M$4:O22))-3,1),"")</f>
        <v>146</v>
      </c>
      <c r="E20" s="117" t="str">
        <f t="array" ref="E20">IFERROR(INDEX(Table_BDD[[Trade n°]:[Note du résultat]],SMALL(IF(Table_BDD[Note du résultat]="-",ROW(Table_BDD[Note du résultat])),ROWS(BDD!$M$4:P22))-3,1),"")</f>
        <v/>
      </c>
      <c r="F20" s="118">
        <f t="array" ref="F20">IFERROR(INDEX(Table_BDD[[Trade n°]:[Note du résultat]],SMALL(IF(Table_BDD[Note du résultat]="--",ROW(Table_BDD[Note du résultat])),ROWS(BDD!$M$4:Q22))-3,1),"")</f>
        <v>25</v>
      </c>
    </row>
    <row r="21" spans="1:6" x14ac:dyDescent="0.2">
      <c r="A21" s="125">
        <f t="shared" si="3"/>
        <v>20</v>
      </c>
      <c r="B21" s="126" t="str">
        <f t="array" ref="B21">IFERROR(INDEX(Table_BDD[[Trade n°]:[Note du résultat]],SMALL(IF(Table_BDD[Note du résultat]="++",ROW(Table_BDD[Note du résultat])),ROWS(BDD!$M$4:M23))-3,1),"")</f>
        <v/>
      </c>
      <c r="C21" s="119" t="str">
        <f t="array" ref="C21">IFERROR(INDEX(Table_BDD[[Trade n°]:[Note du résultat]],SMALL(IF(Table_BDD[Note du résultat]="+",ROW(Table_BDD[Note du résultat])),ROWS(BDD!$M$4:N23))-3,1),"")</f>
        <v/>
      </c>
      <c r="D21" s="120">
        <f t="array" ref="D21">IFERROR(INDEX(Table_BDD[[Trade n°]:[Note du résultat]],SMALL(IF(Table_BDD[Note du résultat]="0",ROW(Table_BDD[Note du résultat])),ROWS(BDD!$M$4:O23))-3,1),"")</f>
        <v>147</v>
      </c>
      <c r="E21" s="121" t="str">
        <f t="array" ref="E21">IFERROR(INDEX(Table_BDD[[Trade n°]:[Note du résultat]],SMALL(IF(Table_BDD[Note du résultat]="-",ROW(Table_BDD[Note du résultat])),ROWS(BDD!$M$4:P23))-3,1),"")</f>
        <v/>
      </c>
      <c r="F21" s="122">
        <f t="array" ref="F21">IFERROR(INDEX(Table_BDD[[Trade n°]:[Note du résultat]],SMALL(IF(Table_BDD[Note du résultat]="--",ROW(Table_BDD[Note du résultat])),ROWS(BDD!$M$4:Q23))-3,1),"")</f>
        <v>26</v>
      </c>
    </row>
    <row r="22" spans="1:6" x14ac:dyDescent="0.2">
      <c r="A22" s="124">
        <f t="shared" si="3"/>
        <v>21</v>
      </c>
      <c r="B22" s="114" t="str">
        <f t="array" ref="B22">IFERROR(INDEX(Table_BDD[[Trade n°]:[Note du résultat]],SMALL(IF(Table_BDD[Note du résultat]="++",ROW(Table_BDD[Note du résultat])),ROWS(BDD!$M$4:M24))-3,1),"")</f>
        <v/>
      </c>
      <c r="C22" s="115" t="str">
        <f t="array" ref="C22">IFERROR(INDEX(Table_BDD[[Trade n°]:[Note du résultat]],SMALL(IF(Table_BDD[Note du résultat]="+",ROW(Table_BDD[Note du résultat])),ROWS(BDD!$M$4:N24))-3,1),"")</f>
        <v/>
      </c>
      <c r="D22" s="116">
        <f t="array" ref="D22">IFERROR(INDEX(Table_BDD[[Trade n°]:[Note du résultat]],SMALL(IF(Table_BDD[Note du résultat]="0",ROW(Table_BDD[Note du résultat])),ROWS(BDD!$M$4:O24))-3,1),"")</f>
        <v>148</v>
      </c>
      <c r="E22" s="117" t="str">
        <f t="array" ref="E22">IFERROR(INDEX(Table_BDD[[Trade n°]:[Note du résultat]],SMALL(IF(Table_BDD[Note du résultat]="-",ROW(Table_BDD[Note du résultat])),ROWS(BDD!$M$4:P24))-3,1),"")</f>
        <v/>
      </c>
      <c r="F22" s="118">
        <f t="array" ref="F22">IFERROR(INDEX(Table_BDD[[Trade n°]:[Note du résultat]],SMALL(IF(Table_BDD[Note du résultat]="--",ROW(Table_BDD[Note du résultat])),ROWS(BDD!$M$4:Q24))-3,1),"")</f>
        <v>27</v>
      </c>
    </row>
    <row r="23" spans="1:6" x14ac:dyDescent="0.2">
      <c r="A23" s="125">
        <f t="shared" si="3"/>
        <v>22</v>
      </c>
      <c r="B23" s="126" t="str">
        <f t="array" ref="B23">IFERROR(INDEX(Table_BDD[[Trade n°]:[Note du résultat]],SMALL(IF(Table_BDD[Note du résultat]="++",ROW(Table_BDD[Note du résultat])),ROWS(BDD!$M$4:M25))-3,1),"")</f>
        <v/>
      </c>
      <c r="C23" s="119" t="str">
        <f t="array" ref="C23">IFERROR(INDEX(Table_BDD[[Trade n°]:[Note du résultat]],SMALL(IF(Table_BDD[Note du résultat]="+",ROW(Table_BDD[Note du résultat])),ROWS(BDD!$M$4:N25))-3,1),"")</f>
        <v/>
      </c>
      <c r="D23" s="120">
        <f t="array" ref="D23">IFERROR(INDEX(Table_BDD[[Trade n°]:[Note du résultat]],SMALL(IF(Table_BDD[Note du résultat]="0",ROW(Table_BDD[Note du résultat])),ROWS(BDD!$M$4:O25))-3,1),"")</f>
        <v>151</v>
      </c>
      <c r="E23" s="121" t="str">
        <f t="array" ref="E23">IFERROR(INDEX(Table_BDD[[Trade n°]:[Note du résultat]],SMALL(IF(Table_BDD[Note du résultat]="-",ROW(Table_BDD[Note du résultat])),ROWS(BDD!$M$4:P25))-3,1),"")</f>
        <v/>
      </c>
      <c r="F23" s="122">
        <f t="array" ref="F23">IFERROR(INDEX(Table_BDD[[Trade n°]:[Note du résultat]],SMALL(IF(Table_BDD[Note du résultat]="--",ROW(Table_BDD[Note du résultat])),ROWS(BDD!$M$4:Q25))-3,1),"")</f>
        <v>28</v>
      </c>
    </row>
    <row r="24" spans="1:6" x14ac:dyDescent="0.2">
      <c r="A24" s="124">
        <f t="shared" si="3"/>
        <v>23</v>
      </c>
      <c r="B24" s="114" t="str">
        <f t="array" ref="B24">IFERROR(INDEX(Table_BDD[[Trade n°]:[Note du résultat]],SMALL(IF(Table_BDD[Note du résultat]="++",ROW(Table_BDD[Note du résultat])),ROWS(BDD!$M$4:M26))-3,1),"")</f>
        <v/>
      </c>
      <c r="C24" s="115" t="str">
        <f t="array" ref="C24">IFERROR(INDEX(Table_BDD[[Trade n°]:[Note du résultat]],SMALL(IF(Table_BDD[Note du résultat]="+",ROW(Table_BDD[Note du résultat])),ROWS(BDD!$M$4:N26))-3,1),"")</f>
        <v/>
      </c>
      <c r="D24" s="116">
        <f t="array" ref="D24">IFERROR(INDEX(Table_BDD[[Trade n°]:[Note du résultat]],SMALL(IF(Table_BDD[Note du résultat]="0",ROW(Table_BDD[Note du résultat])),ROWS(BDD!$M$4:O26))-3,1),"")</f>
        <v>156</v>
      </c>
      <c r="E24" s="117" t="str">
        <f t="array" ref="E24">IFERROR(INDEX(Table_BDD[[Trade n°]:[Note du résultat]],SMALL(IF(Table_BDD[Note du résultat]="-",ROW(Table_BDD[Note du résultat])),ROWS(BDD!$M$4:P26))-3,1),"")</f>
        <v/>
      </c>
      <c r="F24" s="118">
        <f t="array" ref="F24">IFERROR(INDEX(Table_BDD[[Trade n°]:[Note du résultat]],SMALL(IF(Table_BDD[Note du résultat]="--",ROW(Table_BDD[Note du résultat])),ROWS(BDD!$M$4:Q26))-3,1),"")</f>
        <v>29</v>
      </c>
    </row>
    <row r="25" spans="1:6" x14ac:dyDescent="0.2">
      <c r="A25" s="125">
        <f t="shared" si="3"/>
        <v>24</v>
      </c>
      <c r="B25" s="126" t="str">
        <f t="array" ref="B25">IFERROR(INDEX(Table_BDD[[Trade n°]:[Note du résultat]],SMALL(IF(Table_BDD[Note du résultat]="++",ROW(Table_BDD[Note du résultat])),ROWS(BDD!$M$4:M27))-3,1),"")</f>
        <v/>
      </c>
      <c r="C25" s="119" t="str">
        <f t="array" ref="C25">IFERROR(INDEX(Table_BDD[[Trade n°]:[Note du résultat]],SMALL(IF(Table_BDD[Note du résultat]="+",ROW(Table_BDD[Note du résultat])),ROWS(BDD!$M$4:N27))-3,1),"")</f>
        <v/>
      </c>
      <c r="D25" s="120">
        <f t="array" ref="D25">IFERROR(INDEX(Table_BDD[[Trade n°]:[Note du résultat]],SMALL(IF(Table_BDD[Note du résultat]="0",ROW(Table_BDD[Note du résultat])),ROWS(BDD!$M$4:O27))-3,1),"")</f>
        <v>158</v>
      </c>
      <c r="E25" s="121" t="str">
        <f t="array" ref="E25">IFERROR(INDEX(Table_BDD[[Trade n°]:[Note du résultat]],SMALL(IF(Table_BDD[Note du résultat]="-",ROW(Table_BDD[Note du résultat])),ROWS(BDD!$M$4:P27))-3,1),"")</f>
        <v/>
      </c>
      <c r="F25" s="122">
        <f t="array" ref="F25">IFERROR(INDEX(Table_BDD[[Trade n°]:[Note du résultat]],SMALL(IF(Table_BDD[Note du résultat]="--",ROW(Table_BDD[Note du résultat])),ROWS(BDD!$M$4:Q27))-3,1),"")</f>
        <v>30</v>
      </c>
    </row>
    <row r="26" spans="1:6" x14ac:dyDescent="0.2">
      <c r="A26" s="124">
        <f t="shared" si="3"/>
        <v>25</v>
      </c>
      <c r="B26" s="114" t="str">
        <f t="array" ref="B26">IFERROR(INDEX(Table_BDD[[Trade n°]:[Note du résultat]],SMALL(IF(Table_BDD[Note du résultat]="++",ROW(Table_BDD[Note du résultat])),ROWS(BDD!$M$4:M28))-3,1),"")</f>
        <v/>
      </c>
      <c r="C26" s="115" t="str">
        <f t="array" ref="C26">IFERROR(INDEX(Table_BDD[[Trade n°]:[Note du résultat]],SMALL(IF(Table_BDD[Note du résultat]="+",ROW(Table_BDD[Note du résultat])),ROWS(BDD!$M$4:N28))-3,1),"")</f>
        <v/>
      </c>
      <c r="D26" s="116" t="str">
        <f t="array" ref="D26">IFERROR(INDEX(Table_BDD[[Trade n°]:[Note du résultat]],SMALL(IF(Table_BDD[Note du résultat]="0",ROW(Table_BDD[Note du résultat])),ROWS(BDD!$M$4:O28))-3,1),"")</f>
        <v/>
      </c>
      <c r="E26" s="117" t="str">
        <f t="array" ref="E26">IFERROR(INDEX(Table_BDD[[Trade n°]:[Note du résultat]],SMALL(IF(Table_BDD[Note du résultat]="-",ROW(Table_BDD[Note du résultat])),ROWS(BDD!$M$4:P28))-3,1),"")</f>
        <v/>
      </c>
      <c r="F26" s="118">
        <f t="array" ref="F26">IFERROR(INDEX(Table_BDD[[Trade n°]:[Note du résultat]],SMALL(IF(Table_BDD[Note du résultat]="--",ROW(Table_BDD[Note du résultat])),ROWS(BDD!$M$4:Q28))-3,1),"")</f>
        <v>31</v>
      </c>
    </row>
    <row r="27" spans="1:6" x14ac:dyDescent="0.2">
      <c r="A27" s="125">
        <f t="shared" si="3"/>
        <v>26</v>
      </c>
      <c r="B27" s="126" t="str">
        <f t="array" ref="B27">IFERROR(INDEX(Table_BDD[[Trade n°]:[Note du résultat]],SMALL(IF(Table_BDD[Note du résultat]="++",ROW(Table_BDD[Note du résultat])),ROWS(BDD!$M$4:M29))-3,1),"")</f>
        <v/>
      </c>
      <c r="C27" s="119" t="str">
        <f t="array" ref="C27">IFERROR(INDEX(Table_BDD[[Trade n°]:[Note du résultat]],SMALL(IF(Table_BDD[Note du résultat]="+",ROW(Table_BDD[Note du résultat])),ROWS(BDD!$M$4:N29))-3,1),"")</f>
        <v/>
      </c>
      <c r="D27" s="120" t="str">
        <f t="array" ref="D27">IFERROR(INDEX(Table_BDD[[Trade n°]:[Note du résultat]],SMALL(IF(Table_BDD[Note du résultat]="0",ROW(Table_BDD[Note du résultat])),ROWS(BDD!$M$4:O29))-3,1),"")</f>
        <v/>
      </c>
      <c r="E27" s="121" t="str">
        <f t="array" ref="E27">IFERROR(INDEX(Table_BDD[[Trade n°]:[Note du résultat]],SMALL(IF(Table_BDD[Note du résultat]="-",ROW(Table_BDD[Note du résultat])),ROWS(BDD!$M$4:P29))-3,1),"")</f>
        <v/>
      </c>
      <c r="F27" s="122">
        <f t="array" ref="F27">IFERROR(INDEX(Table_BDD[[Trade n°]:[Note du résultat]],SMALL(IF(Table_BDD[Note du résultat]="--",ROW(Table_BDD[Note du résultat])),ROWS(BDD!$M$4:Q29))-3,1),"")</f>
        <v>32</v>
      </c>
    </row>
    <row r="28" spans="1:6" x14ac:dyDescent="0.2">
      <c r="A28" s="124">
        <f t="shared" si="3"/>
        <v>27</v>
      </c>
      <c r="B28" s="114" t="str">
        <f t="array" ref="B28">IFERROR(INDEX(Table_BDD[[Trade n°]:[Note du résultat]],SMALL(IF(Table_BDD[Note du résultat]="++",ROW(Table_BDD[Note du résultat])),ROWS(BDD!$M$4:M30))-3,1),"")</f>
        <v/>
      </c>
      <c r="C28" s="115" t="str">
        <f t="array" ref="C28">IFERROR(INDEX(Table_BDD[[Trade n°]:[Note du résultat]],SMALL(IF(Table_BDD[Note du résultat]="+",ROW(Table_BDD[Note du résultat])),ROWS(BDD!$M$4:N30))-3,1),"")</f>
        <v/>
      </c>
      <c r="D28" s="116" t="str">
        <f t="array" ref="D28">IFERROR(INDEX(Table_BDD[[Trade n°]:[Note du résultat]],SMALL(IF(Table_BDD[Note du résultat]="0",ROW(Table_BDD[Note du résultat])),ROWS(BDD!$M$4:O30))-3,1),"")</f>
        <v/>
      </c>
      <c r="E28" s="117" t="str">
        <f t="array" ref="E28">IFERROR(INDEX(Table_BDD[[Trade n°]:[Note du résultat]],SMALL(IF(Table_BDD[Note du résultat]="-",ROW(Table_BDD[Note du résultat])),ROWS(BDD!$M$4:P30))-3,1),"")</f>
        <v/>
      </c>
      <c r="F28" s="118">
        <f t="array" ref="F28">IFERROR(INDEX(Table_BDD[[Trade n°]:[Note du résultat]],SMALL(IF(Table_BDD[Note du résultat]="--",ROW(Table_BDD[Note du résultat])),ROWS(BDD!$M$4:Q30))-3,1),"")</f>
        <v>33</v>
      </c>
    </row>
    <row r="29" spans="1:6" x14ac:dyDescent="0.2">
      <c r="A29" s="125">
        <f t="shared" si="3"/>
        <v>28</v>
      </c>
      <c r="B29" s="126" t="str">
        <f t="array" ref="B29">IFERROR(INDEX(Table_BDD[[Trade n°]:[Note du résultat]],SMALL(IF(Table_BDD[Note du résultat]="++",ROW(Table_BDD[Note du résultat])),ROWS(BDD!$M$4:M31))-3,1),"")</f>
        <v/>
      </c>
      <c r="C29" s="119" t="str">
        <f t="array" ref="C29">IFERROR(INDEX(Table_BDD[[Trade n°]:[Note du résultat]],SMALL(IF(Table_BDD[Note du résultat]="+",ROW(Table_BDD[Note du résultat])),ROWS(BDD!$M$4:N31))-3,1),"")</f>
        <v/>
      </c>
      <c r="D29" s="120" t="str">
        <f t="array" ref="D29">IFERROR(INDEX(Table_BDD[[Trade n°]:[Note du résultat]],SMALL(IF(Table_BDD[Note du résultat]="0",ROW(Table_BDD[Note du résultat])),ROWS(BDD!$M$4:O31))-3,1),"")</f>
        <v/>
      </c>
      <c r="E29" s="121" t="str">
        <f t="array" ref="E29">IFERROR(INDEX(Table_BDD[[Trade n°]:[Note du résultat]],SMALL(IF(Table_BDD[Note du résultat]="-",ROW(Table_BDD[Note du résultat])),ROWS(BDD!$M$4:P31))-3,1),"")</f>
        <v/>
      </c>
      <c r="F29" s="122">
        <f t="array" ref="F29">IFERROR(INDEX(Table_BDD[[Trade n°]:[Note du résultat]],SMALL(IF(Table_BDD[Note du résultat]="--",ROW(Table_BDD[Note du résultat])),ROWS(BDD!$M$4:Q31))-3,1),"")</f>
        <v>34</v>
      </c>
    </row>
    <row r="30" spans="1:6" x14ac:dyDescent="0.2">
      <c r="A30" s="124">
        <f t="shared" si="3"/>
        <v>29</v>
      </c>
      <c r="B30" s="114" t="str">
        <f t="array" ref="B30">IFERROR(INDEX(Table_BDD[[Trade n°]:[Note du résultat]],SMALL(IF(Table_BDD[Note du résultat]="++",ROW(Table_BDD[Note du résultat])),ROWS(BDD!$M$4:M32))-3,1),"")</f>
        <v/>
      </c>
      <c r="C30" s="115" t="str">
        <f t="array" ref="C30">IFERROR(INDEX(Table_BDD[[Trade n°]:[Note du résultat]],SMALL(IF(Table_BDD[Note du résultat]="+",ROW(Table_BDD[Note du résultat])),ROWS(BDD!$M$4:N32))-3,1),"")</f>
        <v/>
      </c>
      <c r="D30" s="116" t="str">
        <f t="array" ref="D30">IFERROR(INDEX(Table_BDD[[Trade n°]:[Note du résultat]],SMALL(IF(Table_BDD[Note du résultat]="0",ROW(Table_BDD[Note du résultat])),ROWS(BDD!$M$4:O32))-3,1),"")</f>
        <v/>
      </c>
      <c r="E30" s="117" t="str">
        <f t="array" ref="E30">IFERROR(INDEX(Table_BDD[[Trade n°]:[Note du résultat]],SMALL(IF(Table_BDD[Note du résultat]="-",ROW(Table_BDD[Note du résultat])),ROWS(BDD!$M$4:P32))-3,1),"")</f>
        <v/>
      </c>
      <c r="F30" s="118">
        <f t="array" ref="F30">IFERROR(INDEX(Table_BDD[[Trade n°]:[Note du résultat]],SMALL(IF(Table_BDD[Note du résultat]="--",ROW(Table_BDD[Note du résultat])),ROWS(BDD!$M$4:Q32))-3,1),"")</f>
        <v>35</v>
      </c>
    </row>
    <row r="31" spans="1:6" x14ac:dyDescent="0.2">
      <c r="A31" s="125">
        <f t="shared" si="3"/>
        <v>30</v>
      </c>
      <c r="B31" s="126" t="str">
        <f t="array" ref="B31">IFERROR(INDEX(Table_BDD[[Trade n°]:[Note du résultat]],SMALL(IF(Table_BDD[Note du résultat]="++",ROW(Table_BDD[Note du résultat])),ROWS(BDD!$M$4:M33))-3,1),"")</f>
        <v/>
      </c>
      <c r="C31" s="119" t="str">
        <f t="array" ref="C31">IFERROR(INDEX(Table_BDD[[Trade n°]:[Note du résultat]],SMALL(IF(Table_BDD[Note du résultat]="+",ROW(Table_BDD[Note du résultat])),ROWS(BDD!$M$4:N33))-3,1),"")</f>
        <v/>
      </c>
      <c r="D31" s="120" t="str">
        <f t="array" ref="D31">IFERROR(INDEX(Table_BDD[[Trade n°]:[Note du résultat]],SMALL(IF(Table_BDD[Note du résultat]="0",ROW(Table_BDD[Note du résultat])),ROWS(BDD!$M$4:O33))-3,1),"")</f>
        <v/>
      </c>
      <c r="E31" s="121" t="str">
        <f t="array" ref="E31">IFERROR(INDEX(Table_BDD[[Trade n°]:[Note du résultat]],SMALL(IF(Table_BDD[Note du résultat]="-",ROW(Table_BDD[Note du résultat])),ROWS(BDD!$M$4:P33))-3,1),"")</f>
        <v/>
      </c>
      <c r="F31" s="122">
        <f t="array" ref="F31">IFERROR(INDEX(Table_BDD[[Trade n°]:[Note du résultat]],SMALL(IF(Table_BDD[Note du résultat]="--",ROW(Table_BDD[Note du résultat])),ROWS(BDD!$M$4:Q33))-3,1),"")</f>
        <v>36</v>
      </c>
    </row>
    <row r="32" spans="1:6" x14ac:dyDescent="0.2">
      <c r="A32" s="124">
        <f t="shared" si="3"/>
        <v>31</v>
      </c>
      <c r="B32" s="114" t="str">
        <f t="array" ref="B32">IFERROR(INDEX(Table_BDD[[Trade n°]:[Note du résultat]],SMALL(IF(Table_BDD[Note du résultat]="++",ROW(Table_BDD[Note du résultat])),ROWS(BDD!$M$4:M34))-3,1),"")</f>
        <v/>
      </c>
      <c r="C32" s="115" t="str">
        <f t="array" ref="C32">IFERROR(INDEX(Table_BDD[[Trade n°]:[Note du résultat]],SMALL(IF(Table_BDD[Note du résultat]="+",ROW(Table_BDD[Note du résultat])),ROWS(BDD!$M$4:N34))-3,1),"")</f>
        <v/>
      </c>
      <c r="D32" s="116" t="str">
        <f t="array" ref="D32">IFERROR(INDEX(Table_BDD[[Trade n°]:[Note du résultat]],SMALL(IF(Table_BDD[Note du résultat]="0",ROW(Table_BDD[Note du résultat])),ROWS(BDD!$M$4:O34))-3,1),"")</f>
        <v/>
      </c>
      <c r="E32" s="117" t="str">
        <f t="array" ref="E32">IFERROR(INDEX(Table_BDD[[Trade n°]:[Note du résultat]],SMALL(IF(Table_BDD[Note du résultat]="-",ROW(Table_BDD[Note du résultat])),ROWS(BDD!$M$4:P34))-3,1),"")</f>
        <v/>
      </c>
      <c r="F32" s="118">
        <f t="array" ref="F32">IFERROR(INDEX(Table_BDD[[Trade n°]:[Note du résultat]],SMALL(IF(Table_BDD[Note du résultat]="--",ROW(Table_BDD[Note du résultat])),ROWS(BDD!$M$4:Q34))-3,1),"")</f>
        <v>37</v>
      </c>
    </row>
    <row r="33" spans="1:6" x14ac:dyDescent="0.2">
      <c r="A33" s="125">
        <f t="shared" si="3"/>
        <v>32</v>
      </c>
      <c r="B33" s="126" t="str">
        <f t="array" ref="B33">IFERROR(INDEX(Table_BDD[[Trade n°]:[Note du résultat]],SMALL(IF(Table_BDD[Note du résultat]="++",ROW(Table_BDD[Note du résultat])),ROWS(BDD!$M$4:M35))-3,1),"")</f>
        <v/>
      </c>
      <c r="C33" s="119" t="str">
        <f t="array" ref="C33">IFERROR(INDEX(Table_BDD[[Trade n°]:[Note du résultat]],SMALL(IF(Table_BDD[Note du résultat]="+",ROW(Table_BDD[Note du résultat])),ROWS(BDD!$M$4:N35))-3,1),"")</f>
        <v/>
      </c>
      <c r="D33" s="120" t="str">
        <f t="array" ref="D33">IFERROR(INDEX(Table_BDD[[Trade n°]:[Note du résultat]],SMALL(IF(Table_BDD[Note du résultat]="0",ROW(Table_BDD[Note du résultat])),ROWS(BDD!$M$4:O35))-3,1),"")</f>
        <v/>
      </c>
      <c r="E33" s="121" t="str">
        <f t="array" ref="E33">IFERROR(INDEX(Table_BDD[[Trade n°]:[Note du résultat]],SMALL(IF(Table_BDD[Note du résultat]="-",ROW(Table_BDD[Note du résultat])),ROWS(BDD!$M$4:P35))-3,1),"")</f>
        <v/>
      </c>
      <c r="F33" s="122">
        <f t="array" ref="F33">IFERROR(INDEX(Table_BDD[[Trade n°]:[Note du résultat]],SMALL(IF(Table_BDD[Note du résultat]="--",ROW(Table_BDD[Note du résultat])),ROWS(BDD!$M$4:Q35))-3,1),"")</f>
        <v>39</v>
      </c>
    </row>
    <row r="34" spans="1:6" x14ac:dyDescent="0.2">
      <c r="A34" s="124">
        <f t="shared" si="3"/>
        <v>33</v>
      </c>
      <c r="B34" s="114" t="str">
        <f t="array" ref="B34">IFERROR(INDEX(Table_BDD[[Trade n°]:[Note du résultat]],SMALL(IF(Table_BDD[Note du résultat]="++",ROW(Table_BDD[Note du résultat])),ROWS(BDD!$M$4:M36))-3,1),"")</f>
        <v/>
      </c>
      <c r="C34" s="115" t="str">
        <f t="array" ref="C34">IFERROR(INDEX(Table_BDD[[Trade n°]:[Note du résultat]],SMALL(IF(Table_BDD[Note du résultat]="+",ROW(Table_BDD[Note du résultat])),ROWS(BDD!$M$4:N36))-3,1),"")</f>
        <v/>
      </c>
      <c r="D34" s="116" t="str">
        <f t="array" ref="D34">IFERROR(INDEX(Table_BDD[[Trade n°]:[Note du résultat]],SMALL(IF(Table_BDD[Note du résultat]="0",ROW(Table_BDD[Note du résultat])),ROWS(BDD!$M$4:O36))-3,1),"")</f>
        <v/>
      </c>
      <c r="E34" s="117" t="str">
        <f t="array" ref="E34">IFERROR(INDEX(Table_BDD[[Trade n°]:[Note du résultat]],SMALL(IF(Table_BDD[Note du résultat]="-",ROW(Table_BDD[Note du résultat])),ROWS(BDD!$M$4:P36))-3,1),"")</f>
        <v/>
      </c>
      <c r="F34" s="118">
        <f t="array" ref="F34">IFERROR(INDEX(Table_BDD[[Trade n°]:[Note du résultat]],SMALL(IF(Table_BDD[Note du résultat]="--",ROW(Table_BDD[Note du résultat])),ROWS(BDD!$M$4:Q36))-3,1),"")</f>
        <v>40</v>
      </c>
    </row>
    <row r="35" spans="1:6" x14ac:dyDescent="0.2">
      <c r="A35" s="125">
        <f t="shared" si="3"/>
        <v>34</v>
      </c>
      <c r="B35" s="126" t="str">
        <f t="array" ref="B35">IFERROR(INDEX(Table_BDD[[Trade n°]:[Note du résultat]],SMALL(IF(Table_BDD[Note du résultat]="++",ROW(Table_BDD[Note du résultat])),ROWS(BDD!$M$4:M37))-3,1),"")</f>
        <v/>
      </c>
      <c r="C35" s="119" t="str">
        <f t="array" ref="C35">IFERROR(INDEX(Table_BDD[[Trade n°]:[Note du résultat]],SMALL(IF(Table_BDD[Note du résultat]="+",ROW(Table_BDD[Note du résultat])),ROWS(BDD!$M$4:N37))-3,1),"")</f>
        <v/>
      </c>
      <c r="D35" s="120" t="str">
        <f t="array" ref="D35">IFERROR(INDEX(Table_BDD[[Trade n°]:[Note du résultat]],SMALL(IF(Table_BDD[Note du résultat]="0",ROW(Table_BDD[Note du résultat])),ROWS(BDD!$M$4:O37))-3,1),"")</f>
        <v/>
      </c>
      <c r="E35" s="121" t="str">
        <f t="array" ref="E35">IFERROR(INDEX(Table_BDD[[Trade n°]:[Note du résultat]],SMALL(IF(Table_BDD[Note du résultat]="-",ROW(Table_BDD[Note du résultat])),ROWS(BDD!$M$4:P37))-3,1),"")</f>
        <v/>
      </c>
      <c r="F35" s="122">
        <f t="array" ref="F35">IFERROR(INDEX(Table_BDD[[Trade n°]:[Note du résultat]],SMALL(IF(Table_BDD[Note du résultat]="--",ROW(Table_BDD[Note du résultat])),ROWS(BDD!$M$4:Q37))-3,1),"")</f>
        <v>41</v>
      </c>
    </row>
    <row r="36" spans="1:6" x14ac:dyDescent="0.2">
      <c r="A36" s="124">
        <f t="shared" si="3"/>
        <v>35</v>
      </c>
      <c r="B36" s="114" t="str">
        <f t="array" ref="B36">IFERROR(INDEX(Table_BDD[[Trade n°]:[Note du résultat]],SMALL(IF(Table_BDD[Note du résultat]="++",ROW(Table_BDD[Note du résultat])),ROWS(BDD!$M$4:M38))-3,1),"")</f>
        <v/>
      </c>
      <c r="C36" s="115" t="str">
        <f t="array" ref="C36">IFERROR(INDEX(Table_BDD[[Trade n°]:[Note du résultat]],SMALL(IF(Table_BDD[Note du résultat]="+",ROW(Table_BDD[Note du résultat])),ROWS(BDD!$M$4:N38))-3,1),"")</f>
        <v/>
      </c>
      <c r="D36" s="116" t="str">
        <f t="array" ref="D36">IFERROR(INDEX(Table_BDD[[Trade n°]:[Note du résultat]],SMALL(IF(Table_BDD[Note du résultat]="0",ROW(Table_BDD[Note du résultat])),ROWS(BDD!$M$4:O38))-3,1),"")</f>
        <v/>
      </c>
      <c r="E36" s="117" t="str">
        <f t="array" ref="E36">IFERROR(INDEX(Table_BDD[[Trade n°]:[Note du résultat]],SMALL(IF(Table_BDD[Note du résultat]="-",ROW(Table_BDD[Note du résultat])),ROWS(BDD!$M$4:P38))-3,1),"")</f>
        <v/>
      </c>
      <c r="F36" s="118">
        <f t="array" ref="F36">IFERROR(INDEX(Table_BDD[[Trade n°]:[Note du résultat]],SMALL(IF(Table_BDD[Note du résultat]="--",ROW(Table_BDD[Note du résultat])),ROWS(BDD!$M$4:Q38))-3,1),"")</f>
        <v>42</v>
      </c>
    </row>
    <row r="37" spans="1:6" x14ac:dyDescent="0.2">
      <c r="A37" s="125">
        <f t="shared" si="3"/>
        <v>36</v>
      </c>
      <c r="B37" s="126" t="str">
        <f t="array" ref="B37">IFERROR(INDEX(Table_BDD[[Trade n°]:[Note du résultat]],SMALL(IF(Table_BDD[Note du résultat]="++",ROW(Table_BDD[Note du résultat])),ROWS(BDD!$M$4:M39))-3,1),"")</f>
        <v/>
      </c>
      <c r="C37" s="119" t="str">
        <f t="array" ref="C37">IFERROR(INDEX(Table_BDD[[Trade n°]:[Note du résultat]],SMALL(IF(Table_BDD[Note du résultat]="+",ROW(Table_BDD[Note du résultat])),ROWS(BDD!$M$4:N39))-3,1),"")</f>
        <v/>
      </c>
      <c r="D37" s="120" t="str">
        <f t="array" ref="D37">IFERROR(INDEX(Table_BDD[[Trade n°]:[Note du résultat]],SMALL(IF(Table_BDD[Note du résultat]="0",ROW(Table_BDD[Note du résultat])),ROWS(BDD!$M$4:O39))-3,1),"")</f>
        <v/>
      </c>
      <c r="E37" s="121" t="str">
        <f t="array" ref="E37">IFERROR(INDEX(Table_BDD[[Trade n°]:[Note du résultat]],SMALL(IF(Table_BDD[Note du résultat]="-",ROW(Table_BDD[Note du résultat])),ROWS(BDD!$M$4:P39))-3,1),"")</f>
        <v/>
      </c>
      <c r="F37" s="122">
        <f t="array" ref="F37">IFERROR(INDEX(Table_BDD[[Trade n°]:[Note du résultat]],SMALL(IF(Table_BDD[Note du résultat]="--",ROW(Table_BDD[Note du résultat])),ROWS(BDD!$M$4:Q39))-3,1),"")</f>
        <v>43</v>
      </c>
    </row>
    <row r="38" spans="1:6" x14ac:dyDescent="0.2">
      <c r="A38" s="124">
        <f t="shared" si="3"/>
        <v>37</v>
      </c>
      <c r="B38" s="114" t="str">
        <f t="array" ref="B38">IFERROR(INDEX(Table_BDD[[Trade n°]:[Note du résultat]],SMALL(IF(Table_BDD[Note du résultat]="++",ROW(Table_BDD[Note du résultat])),ROWS(BDD!$M$4:M40))-3,1),"")</f>
        <v/>
      </c>
      <c r="C38" s="115" t="str">
        <f t="array" ref="C38">IFERROR(INDEX(Table_BDD[[Trade n°]:[Note du résultat]],SMALL(IF(Table_BDD[Note du résultat]="+",ROW(Table_BDD[Note du résultat])),ROWS(BDD!$M$4:N40))-3,1),"")</f>
        <v/>
      </c>
      <c r="D38" s="116" t="str">
        <f t="array" ref="D38">IFERROR(INDEX(Table_BDD[[Trade n°]:[Note du résultat]],SMALL(IF(Table_BDD[Note du résultat]="0",ROW(Table_BDD[Note du résultat])),ROWS(BDD!$M$4:O40))-3,1),"")</f>
        <v/>
      </c>
      <c r="E38" s="117" t="str">
        <f t="array" ref="E38">IFERROR(INDEX(Table_BDD[[Trade n°]:[Note du résultat]],SMALL(IF(Table_BDD[Note du résultat]="-",ROW(Table_BDD[Note du résultat])),ROWS(BDD!$M$4:P40))-3,1),"")</f>
        <v/>
      </c>
      <c r="F38" s="118">
        <f t="array" ref="F38">IFERROR(INDEX(Table_BDD[[Trade n°]:[Note du résultat]],SMALL(IF(Table_BDD[Note du résultat]="--",ROW(Table_BDD[Note du résultat])),ROWS(BDD!$M$4:Q40))-3,1),"")</f>
        <v>46</v>
      </c>
    </row>
    <row r="39" spans="1:6" x14ac:dyDescent="0.2">
      <c r="A39" s="125">
        <f t="shared" si="3"/>
        <v>38</v>
      </c>
      <c r="B39" s="126" t="str">
        <f t="array" ref="B39">IFERROR(INDEX(Table_BDD[[Trade n°]:[Note du résultat]],SMALL(IF(Table_BDD[Note du résultat]="++",ROW(Table_BDD[Note du résultat])),ROWS(BDD!$M$4:M41))-3,1),"")</f>
        <v/>
      </c>
      <c r="C39" s="119" t="str">
        <f t="array" ref="C39">IFERROR(INDEX(Table_BDD[[Trade n°]:[Note du résultat]],SMALL(IF(Table_BDD[Note du résultat]="+",ROW(Table_BDD[Note du résultat])),ROWS(BDD!$M$4:N41))-3,1),"")</f>
        <v/>
      </c>
      <c r="D39" s="120" t="str">
        <f t="array" ref="D39">IFERROR(INDEX(Table_BDD[[Trade n°]:[Note du résultat]],SMALL(IF(Table_BDD[Note du résultat]="0",ROW(Table_BDD[Note du résultat])),ROWS(BDD!$M$4:O41))-3,1),"")</f>
        <v/>
      </c>
      <c r="E39" s="121" t="str">
        <f t="array" ref="E39">IFERROR(INDEX(Table_BDD[[Trade n°]:[Note du résultat]],SMALL(IF(Table_BDD[Note du résultat]="-",ROW(Table_BDD[Note du résultat])),ROWS(BDD!$M$4:P41))-3,1),"")</f>
        <v/>
      </c>
      <c r="F39" s="122">
        <f t="array" ref="F39">IFERROR(INDEX(Table_BDD[[Trade n°]:[Note du résultat]],SMALL(IF(Table_BDD[Note du résultat]="--",ROW(Table_BDD[Note du résultat])),ROWS(BDD!$M$4:Q41))-3,1),"")</f>
        <v>47</v>
      </c>
    </row>
    <row r="40" spans="1:6" x14ac:dyDescent="0.2">
      <c r="A40" s="124">
        <f t="shared" si="3"/>
        <v>39</v>
      </c>
      <c r="B40" s="114" t="str">
        <f t="array" ref="B40">IFERROR(INDEX(Table_BDD[[Trade n°]:[Note du résultat]],SMALL(IF(Table_BDD[Note du résultat]="++",ROW(Table_BDD[Note du résultat])),ROWS(BDD!$M$4:M42))-3,1),"")</f>
        <v/>
      </c>
      <c r="C40" s="115" t="str">
        <f t="array" ref="C40">IFERROR(INDEX(Table_BDD[[Trade n°]:[Note du résultat]],SMALL(IF(Table_BDD[Note du résultat]="+",ROW(Table_BDD[Note du résultat])),ROWS(BDD!$M$4:N42))-3,1),"")</f>
        <v/>
      </c>
      <c r="D40" s="116" t="str">
        <f t="array" ref="D40">IFERROR(INDEX(Table_BDD[[Trade n°]:[Note du résultat]],SMALL(IF(Table_BDD[Note du résultat]="0",ROW(Table_BDD[Note du résultat])),ROWS(BDD!$M$4:O42))-3,1),"")</f>
        <v/>
      </c>
      <c r="E40" s="117" t="str">
        <f t="array" ref="E40">IFERROR(INDEX(Table_BDD[[Trade n°]:[Note du résultat]],SMALL(IF(Table_BDD[Note du résultat]="-",ROW(Table_BDD[Note du résultat])),ROWS(BDD!$M$4:P42))-3,1),"")</f>
        <v/>
      </c>
      <c r="F40" s="118">
        <f t="array" ref="F40">IFERROR(INDEX(Table_BDD[[Trade n°]:[Note du résultat]],SMALL(IF(Table_BDD[Note du résultat]="--",ROW(Table_BDD[Note du résultat])),ROWS(BDD!$M$4:Q42))-3,1),"")</f>
        <v>48</v>
      </c>
    </row>
    <row r="41" spans="1:6" x14ac:dyDescent="0.2">
      <c r="A41" s="125">
        <f t="shared" si="3"/>
        <v>40</v>
      </c>
      <c r="B41" s="126" t="str">
        <f t="array" ref="B41">IFERROR(INDEX(Table_BDD[[Trade n°]:[Note du résultat]],SMALL(IF(Table_BDD[Note du résultat]="++",ROW(Table_BDD[Note du résultat])),ROWS(BDD!$M$4:M43))-3,1),"")</f>
        <v/>
      </c>
      <c r="C41" s="119" t="str">
        <f t="array" ref="C41">IFERROR(INDEX(Table_BDD[[Trade n°]:[Note du résultat]],SMALL(IF(Table_BDD[Note du résultat]="+",ROW(Table_BDD[Note du résultat])),ROWS(BDD!$M$4:N43))-3,1),"")</f>
        <v/>
      </c>
      <c r="D41" s="120" t="str">
        <f t="array" ref="D41">IFERROR(INDEX(Table_BDD[[Trade n°]:[Note du résultat]],SMALL(IF(Table_BDD[Note du résultat]="0",ROW(Table_BDD[Note du résultat])),ROWS(BDD!$M$4:O43))-3,1),"")</f>
        <v/>
      </c>
      <c r="E41" s="121" t="str">
        <f t="array" ref="E41">IFERROR(INDEX(Table_BDD[[Trade n°]:[Note du résultat]],SMALL(IF(Table_BDD[Note du résultat]="-",ROW(Table_BDD[Note du résultat])),ROWS(BDD!$M$4:P43))-3,1),"")</f>
        <v/>
      </c>
      <c r="F41" s="122">
        <f t="array" ref="F41">IFERROR(INDEX(Table_BDD[[Trade n°]:[Note du résultat]],SMALL(IF(Table_BDD[Note du résultat]="--",ROW(Table_BDD[Note du résultat])),ROWS(BDD!$M$4:Q43))-3,1),"")</f>
        <v>49</v>
      </c>
    </row>
    <row r="42" spans="1:6" x14ac:dyDescent="0.2">
      <c r="A42" s="124">
        <f t="shared" si="3"/>
        <v>41</v>
      </c>
      <c r="B42" s="114" t="str">
        <f t="array" ref="B42">IFERROR(INDEX(Table_BDD[[Trade n°]:[Note du résultat]],SMALL(IF(Table_BDD[Note du résultat]="++",ROW(Table_BDD[Note du résultat])),ROWS(BDD!$M$4:M44))-3,1),"")</f>
        <v/>
      </c>
      <c r="C42" s="115" t="str">
        <f t="array" ref="C42">IFERROR(INDEX(Table_BDD[[Trade n°]:[Note du résultat]],SMALL(IF(Table_BDD[Note du résultat]="+",ROW(Table_BDD[Note du résultat])),ROWS(BDD!$M$4:N44))-3,1),"")</f>
        <v/>
      </c>
      <c r="D42" s="116" t="str">
        <f t="array" ref="D42">IFERROR(INDEX(Table_BDD[[Trade n°]:[Note du résultat]],SMALL(IF(Table_BDD[Note du résultat]="0",ROW(Table_BDD[Note du résultat])),ROWS(BDD!$M$4:O44))-3,1),"")</f>
        <v/>
      </c>
      <c r="E42" s="117" t="str">
        <f t="array" ref="E42">IFERROR(INDEX(Table_BDD[[Trade n°]:[Note du résultat]],SMALL(IF(Table_BDD[Note du résultat]="-",ROW(Table_BDD[Note du résultat])),ROWS(BDD!$M$4:P44))-3,1),"")</f>
        <v/>
      </c>
      <c r="F42" s="118">
        <f t="array" ref="F42">IFERROR(INDEX(Table_BDD[[Trade n°]:[Note du résultat]],SMALL(IF(Table_BDD[Note du résultat]="--",ROW(Table_BDD[Note du résultat])),ROWS(BDD!$M$4:Q44))-3,1),"")</f>
        <v>50</v>
      </c>
    </row>
    <row r="43" spans="1:6" x14ac:dyDescent="0.2">
      <c r="A43" s="125">
        <f t="shared" si="3"/>
        <v>42</v>
      </c>
      <c r="B43" s="126" t="str">
        <f t="array" ref="B43">IFERROR(INDEX(Table_BDD[[Trade n°]:[Note du résultat]],SMALL(IF(Table_BDD[Note du résultat]="++",ROW(Table_BDD[Note du résultat])),ROWS(BDD!$M$4:M45))-3,1),"")</f>
        <v/>
      </c>
      <c r="C43" s="119" t="str">
        <f t="array" ref="C43">IFERROR(INDEX(Table_BDD[[Trade n°]:[Note du résultat]],SMALL(IF(Table_BDD[Note du résultat]="+",ROW(Table_BDD[Note du résultat])),ROWS(BDD!$M$4:N45))-3,1),"")</f>
        <v/>
      </c>
      <c r="D43" s="120" t="str">
        <f t="array" ref="D43">IFERROR(INDEX(Table_BDD[[Trade n°]:[Note du résultat]],SMALL(IF(Table_BDD[Note du résultat]="0",ROW(Table_BDD[Note du résultat])),ROWS(BDD!$M$4:O45))-3,1),"")</f>
        <v/>
      </c>
      <c r="E43" s="121" t="str">
        <f t="array" ref="E43">IFERROR(INDEX(Table_BDD[[Trade n°]:[Note du résultat]],SMALL(IF(Table_BDD[Note du résultat]="-",ROW(Table_BDD[Note du résultat])),ROWS(BDD!$M$4:P45))-3,1),"")</f>
        <v/>
      </c>
      <c r="F43" s="122">
        <f t="array" ref="F43">IFERROR(INDEX(Table_BDD[[Trade n°]:[Note du résultat]],SMALL(IF(Table_BDD[Note du résultat]="--",ROW(Table_BDD[Note du résultat])),ROWS(BDD!$M$4:Q45))-3,1),"")</f>
        <v>51</v>
      </c>
    </row>
    <row r="44" spans="1:6" x14ac:dyDescent="0.2">
      <c r="A44" s="124">
        <f t="shared" si="3"/>
        <v>43</v>
      </c>
      <c r="B44" s="114" t="str">
        <f t="array" ref="B44">IFERROR(INDEX(Table_BDD[[Trade n°]:[Note du résultat]],SMALL(IF(Table_BDD[Note du résultat]="++",ROW(Table_BDD[Note du résultat])),ROWS(BDD!$M$4:M46))-3,1),"")</f>
        <v/>
      </c>
      <c r="C44" s="115" t="str">
        <f t="array" ref="C44">IFERROR(INDEX(Table_BDD[[Trade n°]:[Note du résultat]],SMALL(IF(Table_BDD[Note du résultat]="+",ROW(Table_BDD[Note du résultat])),ROWS(BDD!$M$4:N46))-3,1),"")</f>
        <v/>
      </c>
      <c r="D44" s="116" t="str">
        <f t="array" ref="D44">IFERROR(INDEX(Table_BDD[[Trade n°]:[Note du résultat]],SMALL(IF(Table_BDD[Note du résultat]="0",ROW(Table_BDD[Note du résultat])),ROWS(BDD!$M$4:O46))-3,1),"")</f>
        <v/>
      </c>
      <c r="E44" s="117" t="str">
        <f t="array" ref="E44">IFERROR(INDEX(Table_BDD[[Trade n°]:[Note du résultat]],SMALL(IF(Table_BDD[Note du résultat]="-",ROW(Table_BDD[Note du résultat])),ROWS(BDD!$M$4:P46))-3,1),"")</f>
        <v/>
      </c>
      <c r="F44" s="118">
        <f t="array" ref="F44">IFERROR(INDEX(Table_BDD[[Trade n°]:[Note du résultat]],SMALL(IF(Table_BDD[Note du résultat]="--",ROW(Table_BDD[Note du résultat])),ROWS(BDD!$M$4:Q46))-3,1),"")</f>
        <v>52</v>
      </c>
    </row>
    <row r="45" spans="1:6" x14ac:dyDescent="0.2">
      <c r="A45" s="125">
        <f t="shared" si="3"/>
        <v>44</v>
      </c>
      <c r="B45" s="126" t="str">
        <f t="array" ref="B45">IFERROR(INDEX(Table_BDD[[Trade n°]:[Note du résultat]],SMALL(IF(Table_BDD[Note du résultat]="++",ROW(Table_BDD[Note du résultat])),ROWS(BDD!$M$4:M47))-3,1),"")</f>
        <v/>
      </c>
      <c r="C45" s="119" t="str">
        <f t="array" ref="C45">IFERROR(INDEX(Table_BDD[[Trade n°]:[Note du résultat]],SMALL(IF(Table_BDD[Note du résultat]="+",ROW(Table_BDD[Note du résultat])),ROWS(BDD!$M$4:N47))-3,1),"")</f>
        <v/>
      </c>
      <c r="D45" s="120" t="str">
        <f t="array" ref="D45">IFERROR(INDEX(Table_BDD[[Trade n°]:[Note du résultat]],SMALL(IF(Table_BDD[Note du résultat]="0",ROW(Table_BDD[Note du résultat])),ROWS(BDD!$M$4:O47))-3,1),"")</f>
        <v/>
      </c>
      <c r="E45" s="121" t="str">
        <f t="array" ref="E45">IFERROR(INDEX(Table_BDD[[Trade n°]:[Note du résultat]],SMALL(IF(Table_BDD[Note du résultat]="-",ROW(Table_BDD[Note du résultat])),ROWS(BDD!$M$4:P47))-3,1),"")</f>
        <v/>
      </c>
      <c r="F45" s="122">
        <f t="array" ref="F45">IFERROR(INDEX(Table_BDD[[Trade n°]:[Note du résultat]],SMALL(IF(Table_BDD[Note du résultat]="--",ROW(Table_BDD[Note du résultat])),ROWS(BDD!$M$4:Q47))-3,1),"")</f>
        <v>53</v>
      </c>
    </row>
    <row r="46" spans="1:6" x14ac:dyDescent="0.2">
      <c r="A46" s="124">
        <f t="shared" si="3"/>
        <v>45</v>
      </c>
      <c r="B46" s="114" t="str">
        <f t="array" ref="B46">IFERROR(INDEX(Table_BDD[[Trade n°]:[Note du résultat]],SMALL(IF(Table_BDD[Note du résultat]="++",ROW(Table_BDD[Note du résultat])),ROWS(BDD!$M$4:M48))-3,1),"")</f>
        <v/>
      </c>
      <c r="C46" s="115" t="str">
        <f t="array" ref="C46">IFERROR(INDEX(Table_BDD[[Trade n°]:[Note du résultat]],SMALL(IF(Table_BDD[Note du résultat]="+",ROW(Table_BDD[Note du résultat])),ROWS(BDD!$M$4:N48))-3,1),"")</f>
        <v/>
      </c>
      <c r="D46" s="116" t="str">
        <f t="array" ref="D46">IFERROR(INDEX(Table_BDD[[Trade n°]:[Note du résultat]],SMALL(IF(Table_BDD[Note du résultat]="0",ROW(Table_BDD[Note du résultat])),ROWS(BDD!$M$4:O48))-3,1),"")</f>
        <v/>
      </c>
      <c r="E46" s="117" t="str">
        <f t="array" ref="E46">IFERROR(INDEX(Table_BDD[[Trade n°]:[Note du résultat]],SMALL(IF(Table_BDD[Note du résultat]="-",ROW(Table_BDD[Note du résultat])),ROWS(BDD!$M$4:P48))-3,1),"")</f>
        <v/>
      </c>
      <c r="F46" s="118">
        <f t="array" ref="F46">IFERROR(INDEX(Table_BDD[[Trade n°]:[Note du résultat]],SMALL(IF(Table_BDD[Note du résultat]="--",ROW(Table_BDD[Note du résultat])),ROWS(BDD!$M$4:Q48))-3,1),"")</f>
        <v>54</v>
      </c>
    </row>
    <row r="47" spans="1:6" x14ac:dyDescent="0.2">
      <c r="A47" s="125">
        <f t="shared" si="3"/>
        <v>46</v>
      </c>
      <c r="B47" s="126" t="str">
        <f t="array" ref="B47">IFERROR(INDEX(Table_BDD[[Trade n°]:[Note du résultat]],SMALL(IF(Table_BDD[Note du résultat]="++",ROW(Table_BDD[Note du résultat])),ROWS(BDD!$M$4:M49))-3,1),"")</f>
        <v/>
      </c>
      <c r="C47" s="119" t="str">
        <f t="array" ref="C47">IFERROR(INDEX(Table_BDD[[Trade n°]:[Note du résultat]],SMALL(IF(Table_BDD[Note du résultat]="+",ROW(Table_BDD[Note du résultat])),ROWS(BDD!$M$4:N49))-3,1),"")</f>
        <v/>
      </c>
      <c r="D47" s="120" t="str">
        <f t="array" ref="D47">IFERROR(INDEX(Table_BDD[[Trade n°]:[Note du résultat]],SMALL(IF(Table_BDD[Note du résultat]="0",ROW(Table_BDD[Note du résultat])),ROWS(BDD!$M$4:O49))-3,1),"")</f>
        <v/>
      </c>
      <c r="E47" s="121" t="str">
        <f t="array" ref="E47">IFERROR(INDEX(Table_BDD[[Trade n°]:[Note du résultat]],SMALL(IF(Table_BDD[Note du résultat]="-",ROW(Table_BDD[Note du résultat])),ROWS(BDD!$M$4:P49))-3,1),"")</f>
        <v/>
      </c>
      <c r="F47" s="122">
        <f t="array" ref="F47">IFERROR(INDEX(Table_BDD[[Trade n°]:[Note du résultat]],SMALL(IF(Table_BDD[Note du résultat]="--",ROW(Table_BDD[Note du résultat])),ROWS(BDD!$M$4:Q49))-3,1),"")</f>
        <v>60</v>
      </c>
    </row>
    <row r="48" spans="1:6" x14ac:dyDescent="0.2">
      <c r="A48" s="124">
        <f t="shared" si="3"/>
        <v>47</v>
      </c>
      <c r="B48" s="114" t="str">
        <f t="array" ref="B48">IFERROR(INDEX(Table_BDD[[Trade n°]:[Note du résultat]],SMALL(IF(Table_BDD[Note du résultat]="++",ROW(Table_BDD[Note du résultat])),ROWS(BDD!$M$4:M50))-3,1),"")</f>
        <v/>
      </c>
      <c r="C48" s="115" t="str">
        <f t="array" ref="C48">IFERROR(INDEX(Table_BDD[[Trade n°]:[Note du résultat]],SMALL(IF(Table_BDD[Note du résultat]="+",ROW(Table_BDD[Note du résultat])),ROWS(BDD!$M$4:N50))-3,1),"")</f>
        <v/>
      </c>
      <c r="D48" s="116" t="str">
        <f t="array" ref="D48">IFERROR(INDEX(Table_BDD[[Trade n°]:[Note du résultat]],SMALL(IF(Table_BDD[Note du résultat]="0",ROW(Table_BDD[Note du résultat])),ROWS(BDD!$M$4:O50))-3,1),"")</f>
        <v/>
      </c>
      <c r="E48" s="117" t="str">
        <f t="array" ref="E48">IFERROR(INDEX(Table_BDD[[Trade n°]:[Note du résultat]],SMALL(IF(Table_BDD[Note du résultat]="-",ROW(Table_BDD[Note du résultat])),ROWS(BDD!$M$4:P50))-3,1),"")</f>
        <v/>
      </c>
      <c r="F48" s="118">
        <f t="array" ref="F48">IFERROR(INDEX(Table_BDD[[Trade n°]:[Note du résultat]],SMALL(IF(Table_BDD[Note du résultat]="--",ROW(Table_BDD[Note du résultat])),ROWS(BDD!$M$4:Q50))-3,1),"")</f>
        <v>62</v>
      </c>
    </row>
    <row r="49" spans="1:6" x14ac:dyDescent="0.2">
      <c r="A49" s="125">
        <f t="shared" si="3"/>
        <v>48</v>
      </c>
      <c r="B49" s="126" t="str">
        <f t="array" ref="B49">IFERROR(INDEX(Table_BDD[[Trade n°]:[Note du résultat]],SMALL(IF(Table_BDD[Note du résultat]="++",ROW(Table_BDD[Note du résultat])),ROWS(BDD!$M$4:M51))-3,1),"")</f>
        <v/>
      </c>
      <c r="C49" s="119" t="str">
        <f t="array" ref="C49">IFERROR(INDEX(Table_BDD[[Trade n°]:[Note du résultat]],SMALL(IF(Table_BDD[Note du résultat]="+",ROW(Table_BDD[Note du résultat])),ROWS(BDD!$M$4:N51))-3,1),"")</f>
        <v/>
      </c>
      <c r="D49" s="120" t="str">
        <f t="array" ref="D49">IFERROR(INDEX(Table_BDD[[Trade n°]:[Note du résultat]],SMALL(IF(Table_BDD[Note du résultat]="0",ROW(Table_BDD[Note du résultat])),ROWS(BDD!$M$4:O51))-3,1),"")</f>
        <v/>
      </c>
      <c r="E49" s="121" t="str">
        <f t="array" ref="E49">IFERROR(INDEX(Table_BDD[[Trade n°]:[Note du résultat]],SMALL(IF(Table_BDD[Note du résultat]="-",ROW(Table_BDD[Note du résultat])),ROWS(BDD!$M$4:P51))-3,1),"")</f>
        <v/>
      </c>
      <c r="F49" s="122">
        <f t="array" ref="F49">IFERROR(INDEX(Table_BDD[[Trade n°]:[Note du résultat]],SMALL(IF(Table_BDD[Note du résultat]="--",ROW(Table_BDD[Note du résultat])),ROWS(BDD!$M$4:Q51))-3,1),"")</f>
        <v>63</v>
      </c>
    </row>
    <row r="50" spans="1:6" x14ac:dyDescent="0.2">
      <c r="A50" s="124">
        <f t="shared" si="3"/>
        <v>49</v>
      </c>
      <c r="B50" s="114" t="str">
        <f t="array" ref="B50">IFERROR(INDEX(Table_BDD[[Trade n°]:[Note du résultat]],SMALL(IF(Table_BDD[Note du résultat]="++",ROW(Table_BDD[Note du résultat])),ROWS(BDD!$M$4:M52))-3,1),"")</f>
        <v/>
      </c>
      <c r="C50" s="115" t="str">
        <f t="array" ref="C50">IFERROR(INDEX(Table_BDD[[Trade n°]:[Note du résultat]],SMALL(IF(Table_BDD[Note du résultat]="+",ROW(Table_BDD[Note du résultat])),ROWS(BDD!$M$4:N52))-3,1),"")</f>
        <v/>
      </c>
      <c r="D50" s="116" t="str">
        <f t="array" ref="D50">IFERROR(INDEX(Table_BDD[[Trade n°]:[Note du résultat]],SMALL(IF(Table_BDD[Note du résultat]="0",ROW(Table_BDD[Note du résultat])),ROWS(BDD!$M$4:O52))-3,1),"")</f>
        <v/>
      </c>
      <c r="E50" s="117" t="str">
        <f t="array" ref="E50">IFERROR(INDEX(Table_BDD[[Trade n°]:[Note du résultat]],SMALL(IF(Table_BDD[Note du résultat]="-",ROW(Table_BDD[Note du résultat])),ROWS(BDD!$M$4:P52))-3,1),"")</f>
        <v/>
      </c>
      <c r="F50" s="118">
        <f t="array" ref="F50">IFERROR(INDEX(Table_BDD[[Trade n°]:[Note du résultat]],SMALL(IF(Table_BDD[Note du résultat]="--",ROW(Table_BDD[Note du résultat])),ROWS(BDD!$M$4:Q52))-3,1),"")</f>
        <v>65</v>
      </c>
    </row>
    <row r="51" spans="1:6" x14ac:dyDescent="0.2">
      <c r="A51" s="125">
        <f t="shared" si="3"/>
        <v>50</v>
      </c>
      <c r="B51" s="126" t="str">
        <f t="array" ref="B51">IFERROR(INDEX(Table_BDD[[Trade n°]:[Note du résultat]],SMALL(IF(Table_BDD[Note du résultat]="++",ROW(Table_BDD[Note du résultat])),ROWS(BDD!$M$4:M53))-3,1),"")</f>
        <v/>
      </c>
      <c r="C51" s="119" t="str">
        <f t="array" ref="C51">IFERROR(INDEX(Table_BDD[[Trade n°]:[Note du résultat]],SMALL(IF(Table_BDD[Note du résultat]="+",ROW(Table_BDD[Note du résultat])),ROWS(BDD!$M$4:N53))-3,1),"")</f>
        <v/>
      </c>
      <c r="D51" s="120" t="str">
        <f t="array" ref="D51">IFERROR(INDEX(Table_BDD[[Trade n°]:[Note du résultat]],SMALL(IF(Table_BDD[Note du résultat]="0",ROW(Table_BDD[Note du résultat])),ROWS(BDD!$M$4:O53))-3,1),"")</f>
        <v/>
      </c>
      <c r="E51" s="121" t="str">
        <f t="array" ref="E51">IFERROR(INDEX(Table_BDD[[Trade n°]:[Note du résultat]],SMALL(IF(Table_BDD[Note du résultat]="-",ROW(Table_BDD[Note du résultat])),ROWS(BDD!$M$4:P53))-3,1),"")</f>
        <v/>
      </c>
      <c r="F51" s="122">
        <f t="array" ref="F51">IFERROR(INDEX(Table_BDD[[Trade n°]:[Note du résultat]],SMALL(IF(Table_BDD[Note du résultat]="--",ROW(Table_BDD[Note du résultat])),ROWS(BDD!$M$4:Q53))-3,1),"")</f>
        <v>66</v>
      </c>
    </row>
    <row r="52" spans="1:6" x14ac:dyDescent="0.2">
      <c r="A52" s="124">
        <f t="shared" si="3"/>
        <v>51</v>
      </c>
      <c r="B52" s="114" t="str">
        <f t="array" ref="B52">IFERROR(INDEX(Table_BDD[[Trade n°]:[Note du résultat]],SMALL(IF(Table_BDD[Note du résultat]="++",ROW(Table_BDD[Note du résultat])),ROWS(BDD!$M$4:M54))-3,1),"")</f>
        <v/>
      </c>
      <c r="C52" s="115" t="str">
        <f t="array" ref="C52">IFERROR(INDEX(Table_BDD[[Trade n°]:[Note du résultat]],SMALL(IF(Table_BDD[Note du résultat]="+",ROW(Table_BDD[Note du résultat])),ROWS(BDD!$M$4:N54))-3,1),"")</f>
        <v/>
      </c>
      <c r="D52" s="116" t="str">
        <f t="array" ref="D52">IFERROR(INDEX(Table_BDD[[Trade n°]:[Note du résultat]],SMALL(IF(Table_BDD[Note du résultat]="0",ROW(Table_BDD[Note du résultat])),ROWS(BDD!$M$4:O54))-3,1),"")</f>
        <v/>
      </c>
      <c r="E52" s="117" t="str">
        <f t="array" ref="E52">IFERROR(INDEX(Table_BDD[[Trade n°]:[Note du résultat]],SMALL(IF(Table_BDD[Note du résultat]="-",ROW(Table_BDD[Note du résultat])),ROWS(BDD!$M$4:P54))-3,1),"")</f>
        <v/>
      </c>
      <c r="F52" s="118">
        <f t="array" ref="F52">IFERROR(INDEX(Table_BDD[[Trade n°]:[Note du résultat]],SMALL(IF(Table_BDD[Note du résultat]="--",ROW(Table_BDD[Note du résultat])),ROWS(BDD!$M$4:Q54))-3,1),"")</f>
        <v>67</v>
      </c>
    </row>
    <row r="53" spans="1:6" x14ac:dyDescent="0.2">
      <c r="A53" s="125">
        <f t="shared" si="3"/>
        <v>52</v>
      </c>
      <c r="B53" s="126" t="str">
        <f t="array" ref="B53">IFERROR(INDEX(Table_BDD[[Trade n°]:[Note du résultat]],SMALL(IF(Table_BDD[Note du résultat]="++",ROW(Table_BDD[Note du résultat])),ROWS(BDD!$M$4:M55))-3,1),"")</f>
        <v/>
      </c>
      <c r="C53" s="119" t="str">
        <f t="array" ref="C53">IFERROR(INDEX(Table_BDD[[Trade n°]:[Note du résultat]],SMALL(IF(Table_BDD[Note du résultat]="+",ROW(Table_BDD[Note du résultat])),ROWS(BDD!$M$4:N55))-3,1),"")</f>
        <v/>
      </c>
      <c r="D53" s="120" t="str">
        <f t="array" ref="D53">IFERROR(INDEX(Table_BDD[[Trade n°]:[Note du résultat]],SMALL(IF(Table_BDD[Note du résultat]="0",ROW(Table_BDD[Note du résultat])),ROWS(BDD!$M$4:O55))-3,1),"")</f>
        <v/>
      </c>
      <c r="E53" s="121" t="str">
        <f t="array" ref="E53">IFERROR(INDEX(Table_BDD[[Trade n°]:[Note du résultat]],SMALL(IF(Table_BDD[Note du résultat]="-",ROW(Table_BDD[Note du résultat])),ROWS(BDD!$M$4:P55))-3,1),"")</f>
        <v/>
      </c>
      <c r="F53" s="122">
        <f t="array" ref="F53">IFERROR(INDEX(Table_BDD[[Trade n°]:[Note du résultat]],SMALL(IF(Table_BDD[Note du résultat]="--",ROW(Table_BDD[Note du résultat])),ROWS(BDD!$M$4:Q55))-3,1),"")</f>
        <v>68</v>
      </c>
    </row>
    <row r="54" spans="1:6" x14ac:dyDescent="0.2">
      <c r="A54" s="124">
        <f t="shared" si="3"/>
        <v>53</v>
      </c>
      <c r="B54" s="114" t="str">
        <f t="array" ref="B54">IFERROR(INDEX(Table_BDD[[Trade n°]:[Note du résultat]],SMALL(IF(Table_BDD[Note du résultat]="++",ROW(Table_BDD[Note du résultat])),ROWS(BDD!$M$4:M56))-3,1),"")</f>
        <v/>
      </c>
      <c r="C54" s="115" t="str">
        <f t="array" ref="C54">IFERROR(INDEX(Table_BDD[[Trade n°]:[Note du résultat]],SMALL(IF(Table_BDD[Note du résultat]="+",ROW(Table_BDD[Note du résultat])),ROWS(BDD!$M$4:N56))-3,1),"")</f>
        <v/>
      </c>
      <c r="D54" s="116" t="str">
        <f t="array" ref="D54">IFERROR(INDEX(Table_BDD[[Trade n°]:[Note du résultat]],SMALL(IF(Table_BDD[Note du résultat]="0",ROW(Table_BDD[Note du résultat])),ROWS(BDD!$M$4:O56))-3,1),"")</f>
        <v/>
      </c>
      <c r="E54" s="117" t="str">
        <f t="array" ref="E54">IFERROR(INDEX(Table_BDD[[Trade n°]:[Note du résultat]],SMALL(IF(Table_BDD[Note du résultat]="-",ROW(Table_BDD[Note du résultat])),ROWS(BDD!$M$4:P56))-3,1),"")</f>
        <v/>
      </c>
      <c r="F54" s="118">
        <f t="array" ref="F54">IFERROR(INDEX(Table_BDD[[Trade n°]:[Note du résultat]],SMALL(IF(Table_BDD[Note du résultat]="--",ROW(Table_BDD[Note du résultat])),ROWS(BDD!$M$4:Q56))-3,1),"")</f>
        <v>69</v>
      </c>
    </row>
    <row r="55" spans="1:6" x14ac:dyDescent="0.2">
      <c r="A55" s="125">
        <f t="shared" si="3"/>
        <v>54</v>
      </c>
      <c r="B55" s="126" t="str">
        <f t="array" ref="B55">IFERROR(INDEX(Table_BDD[[Trade n°]:[Note du résultat]],SMALL(IF(Table_BDD[Note du résultat]="++",ROW(Table_BDD[Note du résultat])),ROWS(BDD!$M$4:M57))-3,1),"")</f>
        <v/>
      </c>
      <c r="C55" s="119" t="str">
        <f t="array" ref="C55">IFERROR(INDEX(Table_BDD[[Trade n°]:[Note du résultat]],SMALL(IF(Table_BDD[Note du résultat]="+",ROW(Table_BDD[Note du résultat])),ROWS(BDD!$M$4:N57))-3,1),"")</f>
        <v/>
      </c>
      <c r="D55" s="120" t="str">
        <f t="array" ref="D55">IFERROR(INDEX(Table_BDD[[Trade n°]:[Note du résultat]],SMALL(IF(Table_BDD[Note du résultat]="0",ROW(Table_BDD[Note du résultat])),ROWS(BDD!$M$4:O57))-3,1),"")</f>
        <v/>
      </c>
      <c r="E55" s="121" t="str">
        <f t="array" ref="E55">IFERROR(INDEX(Table_BDD[[Trade n°]:[Note du résultat]],SMALL(IF(Table_BDD[Note du résultat]="-",ROW(Table_BDD[Note du résultat])),ROWS(BDD!$M$4:P57))-3,1),"")</f>
        <v/>
      </c>
      <c r="F55" s="122">
        <f t="array" ref="F55">IFERROR(INDEX(Table_BDD[[Trade n°]:[Note du résultat]],SMALL(IF(Table_BDD[Note du résultat]="--",ROW(Table_BDD[Note du résultat])),ROWS(BDD!$M$4:Q57))-3,1),"")</f>
        <v>70</v>
      </c>
    </row>
    <row r="56" spans="1:6" x14ac:dyDescent="0.2">
      <c r="A56" s="124">
        <f t="shared" si="3"/>
        <v>55</v>
      </c>
      <c r="B56" s="114" t="str">
        <f t="array" ref="B56">IFERROR(INDEX(Table_BDD[[Trade n°]:[Note du résultat]],SMALL(IF(Table_BDD[Note du résultat]="++",ROW(Table_BDD[Note du résultat])),ROWS(BDD!$M$4:M58))-3,1),"")</f>
        <v/>
      </c>
      <c r="C56" s="115" t="str">
        <f t="array" ref="C56">IFERROR(INDEX(Table_BDD[[Trade n°]:[Note du résultat]],SMALL(IF(Table_BDD[Note du résultat]="+",ROW(Table_BDD[Note du résultat])),ROWS(BDD!$M$4:N58))-3,1),"")</f>
        <v/>
      </c>
      <c r="D56" s="116" t="str">
        <f t="array" ref="D56">IFERROR(INDEX(Table_BDD[[Trade n°]:[Note du résultat]],SMALL(IF(Table_BDD[Note du résultat]="0",ROW(Table_BDD[Note du résultat])),ROWS(BDD!$M$4:O58))-3,1),"")</f>
        <v/>
      </c>
      <c r="E56" s="117" t="str">
        <f t="array" ref="E56">IFERROR(INDEX(Table_BDD[[Trade n°]:[Note du résultat]],SMALL(IF(Table_BDD[Note du résultat]="-",ROW(Table_BDD[Note du résultat])),ROWS(BDD!$M$4:P58))-3,1),"")</f>
        <v/>
      </c>
      <c r="F56" s="118">
        <f t="array" ref="F56">IFERROR(INDEX(Table_BDD[[Trade n°]:[Note du résultat]],SMALL(IF(Table_BDD[Note du résultat]="--",ROW(Table_BDD[Note du résultat])),ROWS(BDD!$M$4:Q58))-3,1),"")</f>
        <v>71</v>
      </c>
    </row>
    <row r="57" spans="1:6" x14ac:dyDescent="0.2">
      <c r="A57" s="125">
        <f t="shared" si="3"/>
        <v>56</v>
      </c>
      <c r="B57" s="126" t="str">
        <f t="array" ref="B57">IFERROR(INDEX(Table_BDD[[Trade n°]:[Note du résultat]],SMALL(IF(Table_BDD[Note du résultat]="++",ROW(Table_BDD[Note du résultat])),ROWS(BDD!$M$4:M59))-3,1),"")</f>
        <v/>
      </c>
      <c r="C57" s="119" t="str">
        <f t="array" ref="C57">IFERROR(INDEX(Table_BDD[[Trade n°]:[Note du résultat]],SMALL(IF(Table_BDD[Note du résultat]="+",ROW(Table_BDD[Note du résultat])),ROWS(BDD!$M$4:N59))-3,1),"")</f>
        <v/>
      </c>
      <c r="D57" s="120" t="str">
        <f t="array" ref="D57">IFERROR(INDEX(Table_BDD[[Trade n°]:[Note du résultat]],SMALL(IF(Table_BDD[Note du résultat]="0",ROW(Table_BDD[Note du résultat])),ROWS(BDD!$M$4:O59))-3,1),"")</f>
        <v/>
      </c>
      <c r="E57" s="121" t="str">
        <f t="array" ref="E57">IFERROR(INDEX(Table_BDD[[Trade n°]:[Note du résultat]],SMALL(IF(Table_BDD[Note du résultat]="-",ROW(Table_BDD[Note du résultat])),ROWS(BDD!$M$4:P59))-3,1),"")</f>
        <v/>
      </c>
      <c r="F57" s="122">
        <f t="array" ref="F57">IFERROR(INDEX(Table_BDD[[Trade n°]:[Note du résultat]],SMALL(IF(Table_BDD[Note du résultat]="--",ROW(Table_BDD[Note du résultat])),ROWS(BDD!$M$4:Q59))-3,1),"")</f>
        <v>72</v>
      </c>
    </row>
    <row r="58" spans="1:6" x14ac:dyDescent="0.2">
      <c r="A58" s="124">
        <f t="shared" si="3"/>
        <v>57</v>
      </c>
      <c r="B58" s="114" t="str">
        <f t="array" ref="B58">IFERROR(INDEX(Table_BDD[[Trade n°]:[Note du résultat]],SMALL(IF(Table_BDD[Note du résultat]="++",ROW(Table_BDD[Note du résultat])),ROWS(BDD!$M$4:M60))-3,1),"")</f>
        <v/>
      </c>
      <c r="C58" s="115" t="str">
        <f t="array" ref="C58">IFERROR(INDEX(Table_BDD[[Trade n°]:[Note du résultat]],SMALL(IF(Table_BDD[Note du résultat]="+",ROW(Table_BDD[Note du résultat])),ROWS(BDD!$M$4:N60))-3,1),"")</f>
        <v/>
      </c>
      <c r="D58" s="116" t="str">
        <f t="array" ref="D58">IFERROR(INDEX(Table_BDD[[Trade n°]:[Note du résultat]],SMALL(IF(Table_BDD[Note du résultat]="0",ROW(Table_BDD[Note du résultat])),ROWS(BDD!$M$4:O60))-3,1),"")</f>
        <v/>
      </c>
      <c r="E58" s="117" t="str">
        <f t="array" ref="E58">IFERROR(INDEX(Table_BDD[[Trade n°]:[Note du résultat]],SMALL(IF(Table_BDD[Note du résultat]="-",ROW(Table_BDD[Note du résultat])),ROWS(BDD!$M$4:P60))-3,1),"")</f>
        <v/>
      </c>
      <c r="F58" s="118">
        <f t="array" ref="F58">IFERROR(INDEX(Table_BDD[[Trade n°]:[Note du résultat]],SMALL(IF(Table_BDD[Note du résultat]="--",ROW(Table_BDD[Note du résultat])),ROWS(BDD!$M$4:Q60))-3,1),"")</f>
        <v>73</v>
      </c>
    </row>
    <row r="59" spans="1:6" x14ac:dyDescent="0.2">
      <c r="A59" s="125">
        <f t="shared" si="3"/>
        <v>58</v>
      </c>
      <c r="B59" s="126" t="str">
        <f t="array" ref="B59">IFERROR(INDEX(Table_BDD[[Trade n°]:[Note du résultat]],SMALL(IF(Table_BDD[Note du résultat]="++",ROW(Table_BDD[Note du résultat])),ROWS(BDD!$M$4:M61))-3,1),"")</f>
        <v/>
      </c>
      <c r="C59" s="119" t="str">
        <f t="array" ref="C59">IFERROR(INDEX(Table_BDD[[Trade n°]:[Note du résultat]],SMALL(IF(Table_BDD[Note du résultat]="+",ROW(Table_BDD[Note du résultat])),ROWS(BDD!$M$4:N61))-3,1),"")</f>
        <v/>
      </c>
      <c r="D59" s="120" t="str">
        <f t="array" ref="D59">IFERROR(INDEX(Table_BDD[[Trade n°]:[Note du résultat]],SMALL(IF(Table_BDD[Note du résultat]="0",ROW(Table_BDD[Note du résultat])),ROWS(BDD!$M$4:O61))-3,1),"")</f>
        <v/>
      </c>
      <c r="E59" s="121" t="str">
        <f t="array" ref="E59">IFERROR(INDEX(Table_BDD[[Trade n°]:[Note du résultat]],SMALL(IF(Table_BDD[Note du résultat]="-",ROW(Table_BDD[Note du résultat])),ROWS(BDD!$M$4:P61))-3,1),"")</f>
        <v/>
      </c>
      <c r="F59" s="122">
        <f t="array" ref="F59">IFERROR(INDEX(Table_BDD[[Trade n°]:[Note du résultat]],SMALL(IF(Table_BDD[Note du résultat]="--",ROW(Table_BDD[Note du résultat])),ROWS(BDD!$M$4:Q61))-3,1),"")</f>
        <v>75</v>
      </c>
    </row>
    <row r="60" spans="1:6" x14ac:dyDescent="0.2">
      <c r="A60" s="124">
        <f t="shared" si="3"/>
        <v>59</v>
      </c>
      <c r="B60" s="114" t="str">
        <f t="array" ref="B60">IFERROR(INDEX(Table_BDD[[Trade n°]:[Note du résultat]],SMALL(IF(Table_BDD[Note du résultat]="++",ROW(Table_BDD[Note du résultat])),ROWS(BDD!$M$4:M62))-3,1),"")</f>
        <v/>
      </c>
      <c r="C60" s="115" t="str">
        <f t="array" ref="C60">IFERROR(INDEX(Table_BDD[[Trade n°]:[Note du résultat]],SMALL(IF(Table_BDD[Note du résultat]="+",ROW(Table_BDD[Note du résultat])),ROWS(BDD!$M$4:N62))-3,1),"")</f>
        <v/>
      </c>
      <c r="D60" s="116" t="str">
        <f t="array" ref="D60">IFERROR(INDEX(Table_BDD[[Trade n°]:[Note du résultat]],SMALL(IF(Table_BDD[Note du résultat]="0",ROW(Table_BDD[Note du résultat])),ROWS(BDD!$M$4:O62))-3,1),"")</f>
        <v/>
      </c>
      <c r="E60" s="117" t="str">
        <f t="array" ref="E60">IFERROR(INDEX(Table_BDD[[Trade n°]:[Note du résultat]],SMALL(IF(Table_BDD[Note du résultat]="-",ROW(Table_BDD[Note du résultat])),ROWS(BDD!$M$4:P62))-3,1),"")</f>
        <v/>
      </c>
      <c r="F60" s="118">
        <f t="array" ref="F60">IFERROR(INDEX(Table_BDD[[Trade n°]:[Note du résultat]],SMALL(IF(Table_BDD[Note du résultat]="--",ROW(Table_BDD[Note du résultat])),ROWS(BDD!$M$4:Q62))-3,1),"")</f>
        <v>76</v>
      </c>
    </row>
    <row r="61" spans="1:6" x14ac:dyDescent="0.2">
      <c r="A61" s="125">
        <f t="shared" si="3"/>
        <v>60</v>
      </c>
      <c r="B61" s="126" t="str">
        <f t="array" ref="B61">IFERROR(INDEX(Table_BDD[[Trade n°]:[Note du résultat]],SMALL(IF(Table_BDD[Note du résultat]="++",ROW(Table_BDD[Note du résultat])),ROWS(BDD!$M$4:M161))-3,1),"")</f>
        <v/>
      </c>
      <c r="C61" s="119" t="str">
        <f t="array" ref="C61">IFERROR(INDEX(Table_BDD[[Trade n°]:[Note du résultat]],SMALL(IF(Table_BDD[Note du résultat]="+",ROW(Table_BDD[Note du résultat])),ROWS(BDD!$M$4:N161))-3,1),"")</f>
        <v/>
      </c>
      <c r="D61" s="120" t="str">
        <f t="array" ref="D61">IFERROR(INDEX(Table_BDD[[Trade n°]:[Note du résultat]],SMALL(IF(Table_BDD[Note du résultat]="0",ROW(Table_BDD[Note du résultat])),ROWS(BDD!$M$4:O161))-3,1),"")</f>
        <v/>
      </c>
      <c r="E61" s="121" t="str">
        <f t="array" ref="E61">IFERROR(INDEX(Table_BDD[[Trade n°]:[Note du résultat]],SMALL(IF(Table_BDD[Note du résultat]="-",ROW(Table_BDD[Note du résultat])),ROWS(BDD!$M$4:P63))-3,1),"")</f>
        <v/>
      </c>
      <c r="F61" s="122" t="str">
        <f t="array" ref="F61">IFERROR(INDEX(Table_BDD[[Trade n°]:[Note du résultat]],SMALL(IF(Table_BDD[Note du résultat]="--",ROW(Table_BDD[Note du résultat])),ROWS(BDD!$M$4:Q161))-3,1),"")</f>
        <v/>
      </c>
    </row>
    <row r="62" spans="1:6" x14ac:dyDescent="0.2">
      <c r="A62" s="124">
        <f t="shared" si="3"/>
        <v>61</v>
      </c>
      <c r="B62" s="114" t="str">
        <f t="array" ref="B62">IFERROR(INDEX(Table_BDD[[Trade n°]:[Note du résultat]],SMALL(IF(Table_BDD[Note du résultat]="++",ROW(Table_BDD[Note du résultat])),ROWS(BDD!$M$4:M161))-3,1),"")</f>
        <v/>
      </c>
      <c r="C62" s="115" t="str">
        <f t="array" ref="C62">IFERROR(INDEX(Table_BDD[[Trade n°]:[Note du résultat]],SMALL(IF(Table_BDD[Note du résultat]="+",ROW(Table_BDD[Note du résultat])),ROWS(BDD!$M$4:N161))-3,1),"")</f>
        <v/>
      </c>
      <c r="D62" s="116" t="str">
        <f t="array" ref="D62">IFERROR(INDEX(Table_BDD[[Trade n°]:[Note du résultat]],SMALL(IF(Table_BDD[Note du résultat]="0",ROW(Table_BDD[Note du résultat])),ROWS(BDD!$M$4:O161))-3,1),"")</f>
        <v/>
      </c>
      <c r="E62" s="117" t="str">
        <f t="array" ref="E62">IFERROR(INDEX(Table_BDD[[Trade n°]:[Note du résultat]],SMALL(IF(Table_BDD[Note du résultat]="-",ROW(Table_BDD[Note du résultat])),ROWS(BDD!$M$4:P75))-3,1),"")</f>
        <v/>
      </c>
      <c r="F62" s="118" t="str">
        <f t="array" ref="F62">IFERROR(INDEX(Table_BDD[[Trade n°]:[Note du résultat]],SMALL(IF(Table_BDD[Note du résultat]="--",ROW(Table_BDD[Note du résultat])),ROWS(BDD!$M$4:Q161))-3,1),"")</f>
        <v/>
      </c>
    </row>
    <row r="63" spans="1:6" x14ac:dyDescent="0.2">
      <c r="A63" s="125">
        <f t="shared" si="3"/>
        <v>62</v>
      </c>
      <c r="B63" s="126" t="str">
        <f t="array" ref="B63">IFERROR(INDEX(Table_BDD[[Trade n°]:[Note du résultat]],SMALL(IF(Table_BDD[Note du résultat]="++",ROW(Table_BDD[Note du résultat])),ROWS(BDD!$M$4:M162))-3,1),"")</f>
        <v/>
      </c>
      <c r="C63" s="119" t="str">
        <f t="array" ref="C63">IFERROR(INDEX(Table_BDD[[Trade n°]:[Note du résultat]],SMALL(IF(Table_BDD[Note du résultat]="+",ROW(Table_BDD[Note du résultat])),ROWS(BDD!$M$4:N162))-3,1),"")</f>
        <v/>
      </c>
      <c r="D63" s="120" t="str">
        <f t="array" ref="D63">IFERROR(INDEX(Table_BDD[[Trade n°]:[Note du résultat]],SMALL(IF(Table_BDD[Note du résultat]="0",ROW(Table_BDD[Note du résultat])),ROWS(BDD!$M$4:O162))-3,1),"")</f>
        <v/>
      </c>
      <c r="E63" s="121" t="str">
        <f t="array" ref="E63">IFERROR(INDEX(Table_BDD[[Trade n°]:[Note du résultat]],SMALL(IF(Table_BDD[Note du résultat]="-",ROW(Table_BDD[Note du résultat])),ROWS(BDD!$M$4:P162))-3,1),"")</f>
        <v/>
      </c>
      <c r="F63" s="122" t="str">
        <f t="array" ref="F63">IFERROR(INDEX(Table_BDD[[Trade n°]:[Note du résultat]],SMALL(IF(Table_BDD[Note du résultat]="--",ROW(Table_BDD[Note du résultat])),ROWS(BDD!$M$4:Q162))-3,1),"")</f>
        <v/>
      </c>
    </row>
    <row r="64" spans="1:6" x14ac:dyDescent="0.2">
      <c r="A64" s="124">
        <f t="shared" si="3"/>
        <v>63</v>
      </c>
      <c r="B64" s="114" t="str">
        <f t="array" ref="B64">IFERROR(INDEX(Table_BDD[[Trade n°]:[Note du résultat]],SMALL(IF(Table_BDD[Note du résultat]="++",ROW(Table_BDD[Note du résultat])),ROWS(BDD!$M$4:M163))-3,1),"")</f>
        <v/>
      </c>
      <c r="C64" s="115" t="str">
        <f t="array" ref="C64">IFERROR(INDEX(Table_BDD[[Trade n°]:[Note du résultat]],SMALL(IF(Table_BDD[Note du résultat]="+",ROW(Table_BDD[Note du résultat])),ROWS(BDD!$M$4:N163))-3,1),"")</f>
        <v/>
      </c>
      <c r="D64" s="116" t="str">
        <f t="array" ref="D64">IFERROR(INDEX(Table_BDD[[Trade n°]:[Note du résultat]],SMALL(IF(Table_BDD[Note du résultat]="0",ROW(Table_BDD[Note du résultat])),ROWS(BDD!$M$4:O163))-3,1),"")</f>
        <v/>
      </c>
      <c r="E64" s="117" t="str">
        <f t="array" ref="E64">IFERROR(INDEX(Table_BDD[[Trade n°]:[Note du résultat]],SMALL(IF(Table_BDD[Note du résultat]="-",ROW(Table_BDD[Note du résultat])),ROWS(BDD!$M$4:P163))-3,1),"")</f>
        <v/>
      </c>
      <c r="F64" s="118" t="str">
        <f t="array" ref="F64">IFERROR(INDEX(Table_BDD[[Trade n°]:[Note du résultat]],SMALL(IF(Table_BDD[Note du résultat]="--",ROW(Table_BDD[Note du résultat])),ROWS(BDD!$M$4:Q163))-3,1),"")</f>
        <v/>
      </c>
    </row>
    <row r="65" spans="1:6" x14ac:dyDescent="0.2">
      <c r="A65" s="125">
        <f t="shared" si="3"/>
        <v>64</v>
      </c>
      <c r="B65" s="126" t="str">
        <f t="array" ref="B65">IFERROR(INDEX(Table_BDD[[Trade n°]:[Note du résultat]],SMALL(IF(Table_BDD[Note du résultat]="++",ROW(Table_BDD[Note du résultat])),ROWS(BDD!$M$4:M164))-3,1),"")</f>
        <v/>
      </c>
      <c r="C65" s="119" t="str">
        <f t="array" ref="C65">IFERROR(INDEX(Table_BDD[[Trade n°]:[Note du résultat]],SMALL(IF(Table_BDD[Note du résultat]="+",ROW(Table_BDD[Note du résultat])),ROWS(BDD!$M$4:N164))-3,1),"")</f>
        <v/>
      </c>
      <c r="D65" s="120" t="str">
        <f t="array" ref="D65">IFERROR(INDEX(Table_BDD[[Trade n°]:[Note du résultat]],SMALL(IF(Table_BDD[Note du résultat]="0",ROW(Table_BDD[Note du résultat])),ROWS(BDD!$M$4:O164))-3,1),"")</f>
        <v/>
      </c>
      <c r="E65" s="121" t="str">
        <f t="array" ref="E65">IFERROR(INDEX(Table_BDD[[Trade n°]:[Note du résultat]],SMALL(IF(Table_BDD[Note du résultat]="-",ROW(Table_BDD[Note du résultat])),ROWS(BDD!$M$4:P164))-3,1),"")</f>
        <v/>
      </c>
      <c r="F65" s="122" t="str">
        <f t="array" ref="F65">IFERROR(INDEX(Table_BDD[[Trade n°]:[Note du résultat]],SMALL(IF(Table_BDD[Note du résultat]="--",ROW(Table_BDD[Note du résultat])),ROWS(BDD!$M$4:Q164))-3,1),"")</f>
        <v/>
      </c>
    </row>
    <row r="66" spans="1:6" x14ac:dyDescent="0.2">
      <c r="A66" s="124">
        <f t="shared" si="3"/>
        <v>65</v>
      </c>
      <c r="B66" s="114" t="str">
        <f t="array" ref="B66">IFERROR(INDEX(Table_BDD[[Trade n°]:[Note du résultat]],SMALL(IF(Table_BDD[Note du résultat]="++",ROW(Table_BDD[Note du résultat])),ROWS(BDD!$M$4:M165))-3,1),"")</f>
        <v/>
      </c>
      <c r="C66" s="115" t="str">
        <f t="array" ref="C66">IFERROR(INDEX(Table_BDD[[Trade n°]:[Note du résultat]],SMALL(IF(Table_BDD[Note du résultat]="+",ROW(Table_BDD[Note du résultat])),ROWS(BDD!$M$4:N165))-3,1),"")</f>
        <v/>
      </c>
      <c r="D66" s="116" t="str">
        <f t="array" ref="D66">IFERROR(INDEX(Table_BDD[[Trade n°]:[Note du résultat]],SMALL(IF(Table_BDD[Note du résultat]="0",ROW(Table_BDD[Note du résultat])),ROWS(BDD!$M$4:O165))-3,1),"")</f>
        <v/>
      </c>
      <c r="E66" s="117" t="str">
        <f t="array" ref="E66">IFERROR(INDEX(Table_BDD[[Trade n°]:[Note du résultat]],SMALL(IF(Table_BDD[Note du résultat]="-",ROW(Table_BDD[Note du résultat])),ROWS(BDD!$M$4:P165))-3,1),"")</f>
        <v/>
      </c>
      <c r="F66" s="118" t="str">
        <f t="array" ref="F66">IFERROR(INDEX(Table_BDD[[Trade n°]:[Note du résultat]],SMALL(IF(Table_BDD[Note du résultat]="--",ROW(Table_BDD[Note du résultat])),ROWS(BDD!$M$4:Q165))-3,1),"")</f>
        <v/>
      </c>
    </row>
    <row r="67" spans="1:6" x14ac:dyDescent="0.2">
      <c r="A67" s="125">
        <f t="shared" si="3"/>
        <v>66</v>
      </c>
      <c r="B67" s="126" t="str">
        <f t="array" ref="B67">IFERROR(INDEX(Table_BDD[[Trade n°]:[Note du résultat]],SMALL(IF(Table_BDD[Note du résultat]="++",ROW(Table_BDD[Note du résultat])),ROWS(BDD!$M$4:M166))-3,1),"")</f>
        <v/>
      </c>
      <c r="C67" s="119" t="str">
        <f t="array" ref="C67">IFERROR(INDEX(Table_BDD[[Trade n°]:[Note du résultat]],SMALL(IF(Table_BDD[Note du résultat]="+",ROW(Table_BDD[Note du résultat])),ROWS(BDD!$M$4:N166))-3,1),"")</f>
        <v/>
      </c>
      <c r="D67" s="120" t="str">
        <f t="array" ref="D67">IFERROR(INDEX(Table_BDD[[Trade n°]:[Note du résultat]],SMALL(IF(Table_BDD[Note du résultat]="0",ROW(Table_BDD[Note du résultat])),ROWS(BDD!$M$4:O166))-3,1),"")</f>
        <v/>
      </c>
      <c r="E67" s="121" t="str">
        <f t="array" ref="E67">IFERROR(INDEX(Table_BDD[[Trade n°]:[Note du résultat]],SMALL(IF(Table_BDD[Note du résultat]="-",ROW(Table_BDD[Note du résultat])),ROWS(BDD!$M$4:P166))-3,1),"")</f>
        <v/>
      </c>
      <c r="F67" s="122" t="str">
        <f t="array" ref="F67">IFERROR(INDEX(Table_BDD[[Trade n°]:[Note du résultat]],SMALL(IF(Table_BDD[Note du résultat]="--",ROW(Table_BDD[Note du résultat])),ROWS(BDD!$M$4:Q166))-3,1),"")</f>
        <v/>
      </c>
    </row>
    <row r="68" spans="1:6" x14ac:dyDescent="0.2">
      <c r="A68" s="124">
        <f t="shared" si="3"/>
        <v>67</v>
      </c>
      <c r="B68" s="114" t="str">
        <f t="array" ref="B68">IFERROR(INDEX(Table_BDD[[Trade n°]:[Note du résultat]],SMALL(IF(Table_BDD[Note du résultat]="++",ROW(Table_BDD[Note du résultat])),ROWS(BDD!$M$4:M167))-3,1),"")</f>
        <v/>
      </c>
      <c r="C68" s="115" t="str">
        <f t="array" ref="C68">IFERROR(INDEX(Table_BDD[[Trade n°]:[Note du résultat]],SMALL(IF(Table_BDD[Note du résultat]="+",ROW(Table_BDD[Note du résultat])),ROWS(BDD!$M$4:N167))-3,1),"")</f>
        <v/>
      </c>
      <c r="D68" s="116" t="str">
        <f t="array" ref="D68">IFERROR(INDEX(Table_BDD[[Trade n°]:[Note du résultat]],SMALL(IF(Table_BDD[Note du résultat]="0",ROW(Table_BDD[Note du résultat])),ROWS(BDD!$M$4:O167))-3,1),"")</f>
        <v/>
      </c>
      <c r="E68" s="117" t="str">
        <f t="array" ref="E68">IFERROR(INDEX(Table_BDD[[Trade n°]:[Note du résultat]],SMALL(IF(Table_BDD[Note du résultat]="-",ROW(Table_BDD[Note du résultat])),ROWS(BDD!$M$4:P167))-3,1),"")</f>
        <v/>
      </c>
      <c r="F68" s="118" t="str">
        <f t="array" ref="F68">IFERROR(INDEX(Table_BDD[[Trade n°]:[Note du résultat]],SMALL(IF(Table_BDD[Note du résultat]="--",ROW(Table_BDD[Note du résultat])),ROWS(BDD!$M$4:Q167))-3,1),"")</f>
        <v/>
      </c>
    </row>
    <row r="69" spans="1:6" x14ac:dyDescent="0.2">
      <c r="A69" s="125">
        <f t="shared" si="3"/>
        <v>68</v>
      </c>
      <c r="B69" s="126" t="str">
        <f t="array" ref="B69">IFERROR(INDEX(Table_BDD[[Trade n°]:[Note du résultat]],SMALL(IF(Table_BDD[Note du résultat]="++",ROW(Table_BDD[Note du résultat])),ROWS(BDD!$M$4:M168))-3,1),"")</f>
        <v/>
      </c>
      <c r="C69" s="119" t="str">
        <f t="array" ref="C69">IFERROR(INDEX(Table_BDD[[Trade n°]:[Note du résultat]],SMALL(IF(Table_BDD[Note du résultat]="+",ROW(Table_BDD[Note du résultat])),ROWS(BDD!$M$4:N168))-3,1),"")</f>
        <v/>
      </c>
      <c r="D69" s="120" t="str">
        <f t="array" ref="D69">IFERROR(INDEX(Table_BDD[[Trade n°]:[Note du résultat]],SMALL(IF(Table_BDD[Note du résultat]="0",ROW(Table_BDD[Note du résultat])),ROWS(BDD!$M$4:O168))-3,1),"")</f>
        <v/>
      </c>
      <c r="E69" s="121" t="str">
        <f t="array" ref="E69">IFERROR(INDEX(Table_BDD[[Trade n°]:[Note du résultat]],SMALL(IF(Table_BDD[Note du résultat]="-",ROW(Table_BDD[Note du résultat])),ROWS(BDD!$M$4:P168))-3,1),"")</f>
        <v/>
      </c>
      <c r="F69" s="122" t="str">
        <f t="array" ref="F69">IFERROR(INDEX(Table_BDD[[Trade n°]:[Note du résultat]],SMALL(IF(Table_BDD[Note du résultat]="--",ROW(Table_BDD[Note du résultat])),ROWS(BDD!$M$4:Q168))-3,1),"")</f>
        <v/>
      </c>
    </row>
    <row r="70" spans="1:6" x14ac:dyDescent="0.2">
      <c r="A70" s="124">
        <f t="shared" si="3"/>
        <v>69</v>
      </c>
      <c r="B70" s="114" t="str">
        <f t="array" ref="B70">IFERROR(INDEX(Table_BDD[[Trade n°]:[Note du résultat]],SMALL(IF(Table_BDD[Note du résultat]="++",ROW(Table_BDD[Note du résultat])),ROWS(BDD!$M$4:M169))-3,1),"")</f>
        <v/>
      </c>
      <c r="C70" s="115" t="str">
        <f t="array" ref="C70">IFERROR(INDEX(Table_BDD[[Trade n°]:[Note du résultat]],SMALL(IF(Table_BDD[Note du résultat]="+",ROW(Table_BDD[Note du résultat])),ROWS(BDD!$M$4:N169))-3,1),"")</f>
        <v/>
      </c>
      <c r="D70" s="116" t="str">
        <f t="array" ref="D70">IFERROR(INDEX(Table_BDD[[Trade n°]:[Note du résultat]],SMALL(IF(Table_BDD[Note du résultat]="0",ROW(Table_BDD[Note du résultat])),ROWS(BDD!$M$4:O169))-3,1),"")</f>
        <v/>
      </c>
      <c r="E70" s="117" t="str">
        <f t="array" ref="E70">IFERROR(INDEX(Table_BDD[[Trade n°]:[Note du résultat]],SMALL(IF(Table_BDD[Note du résultat]="-",ROW(Table_BDD[Note du résultat])),ROWS(BDD!$M$4:P169))-3,1),"")</f>
        <v/>
      </c>
      <c r="F70" s="118" t="str">
        <f t="array" ref="F70">IFERROR(INDEX(Table_BDD[[Trade n°]:[Note du résultat]],SMALL(IF(Table_BDD[Note du résultat]="--",ROW(Table_BDD[Note du résultat])),ROWS(BDD!$M$4:Q169))-3,1),"")</f>
        <v/>
      </c>
    </row>
    <row r="71" spans="1:6" x14ac:dyDescent="0.2">
      <c r="A71" s="125">
        <f t="shared" si="3"/>
        <v>70</v>
      </c>
      <c r="B71" s="126" t="str">
        <f t="array" ref="B71">IFERROR(INDEX(Table_BDD[[Trade n°]:[Note du résultat]],SMALL(IF(Table_BDD[Note du résultat]="++",ROW(Table_BDD[Note du résultat])),ROWS(BDD!$M$4:M170))-3,1),"")</f>
        <v/>
      </c>
      <c r="C71" s="119" t="str">
        <f t="array" ref="C71">IFERROR(INDEX(Table_BDD[[Trade n°]:[Note du résultat]],SMALL(IF(Table_BDD[Note du résultat]="+",ROW(Table_BDD[Note du résultat])),ROWS(BDD!$M$4:N170))-3,1),"")</f>
        <v/>
      </c>
      <c r="D71" s="120" t="str">
        <f t="array" ref="D71">IFERROR(INDEX(Table_BDD[[Trade n°]:[Note du résultat]],SMALL(IF(Table_BDD[Note du résultat]="0",ROW(Table_BDD[Note du résultat])),ROWS(BDD!$M$4:O170))-3,1),"")</f>
        <v/>
      </c>
      <c r="E71" s="121" t="str">
        <f t="array" ref="E71">IFERROR(INDEX(Table_BDD[[Trade n°]:[Note du résultat]],SMALL(IF(Table_BDD[Note du résultat]="-",ROW(Table_BDD[Note du résultat])),ROWS(BDD!$M$4:P170))-3,1),"")</f>
        <v/>
      </c>
      <c r="F71" s="122" t="str">
        <f t="array" ref="F71">IFERROR(INDEX(Table_BDD[[Trade n°]:[Note du résultat]],SMALL(IF(Table_BDD[Note du résultat]="--",ROW(Table_BDD[Note du résultat])),ROWS(BDD!$M$4:Q170))-3,1),"")</f>
        <v/>
      </c>
    </row>
    <row r="72" spans="1:6" x14ac:dyDescent="0.2">
      <c r="A72" s="124">
        <f t="shared" si="3"/>
        <v>71</v>
      </c>
      <c r="B72" s="114" t="str">
        <f t="array" ref="B72">IFERROR(INDEX(Table_BDD[[Trade n°]:[Note du résultat]],SMALL(IF(Table_BDD[Note du résultat]="++",ROW(Table_BDD[Note du résultat])),ROWS(BDD!$M$4:M171))-3,1),"")</f>
        <v/>
      </c>
      <c r="C72" s="115" t="str">
        <f t="array" ref="C72">IFERROR(INDEX(Table_BDD[[Trade n°]:[Note du résultat]],SMALL(IF(Table_BDD[Note du résultat]="+",ROW(Table_BDD[Note du résultat])),ROWS(BDD!$M$4:N171))-3,1),"")</f>
        <v/>
      </c>
      <c r="D72" s="116" t="str">
        <f t="array" ref="D72">IFERROR(INDEX(Table_BDD[[Trade n°]:[Note du résultat]],SMALL(IF(Table_BDD[Note du résultat]="0",ROW(Table_BDD[Note du résultat])),ROWS(BDD!$M$4:O171))-3,1),"")</f>
        <v/>
      </c>
      <c r="E72" s="117" t="str">
        <f t="array" ref="E72">IFERROR(INDEX(Table_BDD[[Trade n°]:[Note du résultat]],SMALL(IF(Table_BDD[Note du résultat]="-",ROW(Table_BDD[Note du résultat])),ROWS(BDD!$M$4:P171))-3,1),"")</f>
        <v/>
      </c>
      <c r="F72" s="118" t="str">
        <f t="array" ref="F72">IFERROR(INDEX(Table_BDD[[Trade n°]:[Note du résultat]],SMALL(IF(Table_BDD[Note du résultat]="--",ROW(Table_BDD[Note du résultat])),ROWS(BDD!$M$4:Q171))-3,1),"")</f>
        <v/>
      </c>
    </row>
    <row r="73" spans="1:6" x14ac:dyDescent="0.2">
      <c r="A73" s="125">
        <f t="shared" si="3"/>
        <v>72</v>
      </c>
      <c r="B73" s="126" t="str">
        <f t="array" ref="B73">IFERROR(INDEX(Table_BDD[[Trade n°]:[Note du résultat]],SMALL(IF(Table_BDD[Note du résultat]="++",ROW(Table_BDD[Note du résultat])),ROWS(BDD!$M$4:M172))-3,1),"")</f>
        <v/>
      </c>
      <c r="C73" s="119" t="str">
        <f t="array" ref="C73">IFERROR(INDEX(Table_BDD[[Trade n°]:[Note du résultat]],SMALL(IF(Table_BDD[Note du résultat]="+",ROW(Table_BDD[Note du résultat])),ROWS(BDD!$M$4:N172))-3,1),"")</f>
        <v/>
      </c>
      <c r="D73" s="120" t="str">
        <f t="array" ref="D73">IFERROR(INDEX(Table_BDD[[Trade n°]:[Note du résultat]],SMALL(IF(Table_BDD[Note du résultat]="0",ROW(Table_BDD[Note du résultat])),ROWS(BDD!$M$4:O172))-3,1),"")</f>
        <v/>
      </c>
      <c r="E73" s="121" t="str">
        <f t="array" ref="E73">IFERROR(INDEX(Table_BDD[[Trade n°]:[Note du résultat]],SMALL(IF(Table_BDD[Note du résultat]="-",ROW(Table_BDD[Note du résultat])),ROWS(BDD!$M$4:P172))-3,1),"")</f>
        <v/>
      </c>
      <c r="F73" s="122" t="str">
        <f t="array" ref="F73">IFERROR(INDEX(Table_BDD[[Trade n°]:[Note du résultat]],SMALL(IF(Table_BDD[Note du résultat]="--",ROW(Table_BDD[Note du résultat])),ROWS(BDD!$M$4:Q172))-3,1),"")</f>
        <v/>
      </c>
    </row>
    <row r="74" spans="1:6" x14ac:dyDescent="0.2">
      <c r="A74" s="124">
        <f t="shared" si="3"/>
        <v>73</v>
      </c>
      <c r="B74" s="114" t="str">
        <f t="array" ref="B74">IFERROR(INDEX(Table_BDD[[Trade n°]:[Note du résultat]],SMALL(IF(Table_BDD[Note du résultat]="++",ROW(Table_BDD[Note du résultat])),ROWS(BDD!$M$4:M173))-3,1),"")</f>
        <v/>
      </c>
      <c r="C74" s="115" t="str">
        <f t="array" ref="C74">IFERROR(INDEX(Table_BDD[[Trade n°]:[Note du résultat]],SMALL(IF(Table_BDD[Note du résultat]="+",ROW(Table_BDD[Note du résultat])),ROWS(BDD!$M$4:N173))-3,1),"")</f>
        <v/>
      </c>
      <c r="D74" s="116" t="str">
        <f t="array" ref="D74">IFERROR(INDEX(Table_BDD[[Trade n°]:[Note du résultat]],SMALL(IF(Table_BDD[Note du résultat]="0",ROW(Table_BDD[Note du résultat])),ROWS(BDD!$M$4:O173))-3,1),"")</f>
        <v/>
      </c>
      <c r="E74" s="117" t="str">
        <f t="array" ref="E74">IFERROR(INDEX(Table_BDD[[Trade n°]:[Note du résultat]],SMALL(IF(Table_BDD[Note du résultat]="-",ROW(Table_BDD[Note du résultat])),ROWS(BDD!$M$4:P173))-3,1),"")</f>
        <v/>
      </c>
      <c r="F74" s="118" t="str">
        <f t="array" ref="F74">IFERROR(INDEX(Table_BDD[[Trade n°]:[Note du résultat]],SMALL(IF(Table_BDD[Note du résultat]="--",ROW(Table_BDD[Note du résultat])),ROWS(BDD!$M$4:Q173))-3,1),"")</f>
        <v/>
      </c>
    </row>
    <row r="75" spans="1:6" x14ac:dyDescent="0.2">
      <c r="A75" s="125">
        <f t="shared" si="3"/>
        <v>74</v>
      </c>
      <c r="B75" s="126" t="str">
        <f t="array" ref="B75">IFERROR(INDEX(Table_BDD[[Trade n°]:[Note du résultat]],SMALL(IF(Table_BDD[Note du résultat]="++",ROW(Table_BDD[Note du résultat])),ROWS(BDD!$M$4:M174))-3,1),"")</f>
        <v/>
      </c>
      <c r="C75" s="119" t="str">
        <f t="array" ref="C75">IFERROR(INDEX(Table_BDD[[Trade n°]:[Note du résultat]],SMALL(IF(Table_BDD[Note du résultat]="+",ROW(Table_BDD[Note du résultat])),ROWS(BDD!$M$4:N174))-3,1),"")</f>
        <v/>
      </c>
      <c r="D75" s="120" t="str">
        <f t="array" ref="D75">IFERROR(INDEX(Table_BDD[[Trade n°]:[Note du résultat]],SMALL(IF(Table_BDD[Note du résultat]="0",ROW(Table_BDD[Note du résultat])),ROWS(BDD!$M$4:O174))-3,1),"")</f>
        <v/>
      </c>
      <c r="E75" s="121" t="str">
        <f t="array" ref="E75">IFERROR(INDEX(Table_BDD[[Trade n°]:[Note du résultat]],SMALL(IF(Table_BDD[Note du résultat]="-",ROW(Table_BDD[Note du résultat])),ROWS(BDD!$M$4:P174))-3,1),"")</f>
        <v/>
      </c>
      <c r="F75" s="122" t="str">
        <f t="array" ref="F75">IFERROR(INDEX(Table_BDD[[Trade n°]:[Note du résultat]],SMALL(IF(Table_BDD[Note du résultat]="--",ROW(Table_BDD[Note du résultat])),ROWS(BDD!$M$4:Q174))-3,1),"")</f>
        <v/>
      </c>
    </row>
    <row r="76" spans="1:6" x14ac:dyDescent="0.2">
      <c r="A76" s="124">
        <f t="shared" si="3"/>
        <v>75</v>
      </c>
      <c r="B76" s="114" t="str">
        <f t="array" ref="B76">IFERROR(INDEX(Table_BDD[[Trade n°]:[Note du résultat]],SMALL(IF(Table_BDD[Note du résultat]="++",ROW(Table_BDD[Note du résultat])),ROWS(BDD!$M$4:M175))-3,1),"")</f>
        <v/>
      </c>
      <c r="C76" s="115" t="str">
        <f t="array" ref="C76">IFERROR(INDEX(Table_BDD[[Trade n°]:[Note du résultat]],SMALL(IF(Table_BDD[Note du résultat]="+",ROW(Table_BDD[Note du résultat])),ROWS(BDD!$M$4:N175))-3,1),"")</f>
        <v/>
      </c>
      <c r="D76" s="116" t="str">
        <f t="array" ref="D76">IFERROR(INDEX(Table_BDD[[Trade n°]:[Note du résultat]],SMALL(IF(Table_BDD[Note du résultat]="0",ROW(Table_BDD[Note du résultat])),ROWS(BDD!$M$4:O175))-3,1),"")</f>
        <v/>
      </c>
      <c r="E76" s="117" t="str">
        <f t="array" ref="E76">IFERROR(INDEX(Table_BDD[[Trade n°]:[Note du résultat]],SMALL(IF(Table_BDD[Note du résultat]="-",ROW(Table_BDD[Note du résultat])),ROWS(BDD!$M$4:P175))-3,1),"")</f>
        <v/>
      </c>
      <c r="F76" s="118" t="str">
        <f t="array" ref="F76">IFERROR(INDEX(Table_BDD[[Trade n°]:[Note du résultat]],SMALL(IF(Table_BDD[Note du résultat]="--",ROW(Table_BDD[Note du résultat])),ROWS(BDD!$M$4:Q175))-3,1),"")</f>
        <v/>
      </c>
    </row>
    <row r="77" spans="1:6" x14ac:dyDescent="0.2">
      <c r="A77" s="125">
        <f t="shared" si="3"/>
        <v>76</v>
      </c>
      <c r="B77" s="126" t="str">
        <f t="array" ref="B77">IFERROR(INDEX(Table_BDD[[Trade n°]:[Note du résultat]],SMALL(IF(Table_BDD[Note du résultat]="++",ROW(Table_BDD[Note du résultat])),ROWS(BDD!$M$4:M176))-3,1),"")</f>
        <v/>
      </c>
      <c r="C77" s="119" t="str">
        <f t="array" ref="C77">IFERROR(INDEX(Table_BDD[[Trade n°]:[Note du résultat]],SMALL(IF(Table_BDD[Note du résultat]="+",ROW(Table_BDD[Note du résultat])),ROWS(BDD!$M$4:N176))-3,1),"")</f>
        <v/>
      </c>
      <c r="D77" s="120" t="str">
        <f t="array" ref="D77">IFERROR(INDEX(Table_BDD[[Trade n°]:[Note du résultat]],SMALL(IF(Table_BDD[Note du résultat]="0",ROW(Table_BDD[Note du résultat])),ROWS(BDD!$M$4:O176))-3,1),"")</f>
        <v/>
      </c>
      <c r="E77" s="121" t="str">
        <f t="array" ref="E77">IFERROR(INDEX(Table_BDD[[Trade n°]:[Note du résultat]],SMALL(IF(Table_BDD[Note du résultat]="-",ROW(Table_BDD[Note du résultat])),ROWS(BDD!$M$4:P176))-3,1),"")</f>
        <v/>
      </c>
      <c r="F77" s="122" t="str">
        <f t="array" ref="F77">IFERROR(INDEX(Table_BDD[[Trade n°]:[Note du résultat]],SMALL(IF(Table_BDD[Note du résultat]="--",ROW(Table_BDD[Note du résultat])),ROWS(BDD!$M$4:Q176))-3,1),"")</f>
        <v/>
      </c>
    </row>
    <row r="78" spans="1:6" x14ac:dyDescent="0.2">
      <c r="A78" s="124">
        <f t="shared" si="3"/>
        <v>77</v>
      </c>
      <c r="B78" s="114" t="str">
        <f t="array" ref="B78">IFERROR(INDEX(Table_BDD[[Trade n°]:[Note du résultat]],SMALL(IF(Table_BDD[Note du résultat]="++",ROW(Table_BDD[Note du résultat])),ROWS(BDD!$M$4:M177))-3,1),"")</f>
        <v/>
      </c>
      <c r="C78" s="115" t="str">
        <f t="array" ref="C78">IFERROR(INDEX(Table_BDD[[Trade n°]:[Note du résultat]],SMALL(IF(Table_BDD[Note du résultat]="+",ROW(Table_BDD[Note du résultat])),ROWS(BDD!$M$4:N177))-3,1),"")</f>
        <v/>
      </c>
      <c r="D78" s="116" t="str">
        <f t="array" ref="D78">IFERROR(INDEX(Table_BDD[[Trade n°]:[Note du résultat]],SMALL(IF(Table_BDD[Note du résultat]="0",ROW(Table_BDD[Note du résultat])),ROWS(BDD!$M$4:O177))-3,1),"")</f>
        <v/>
      </c>
      <c r="E78" s="117" t="str">
        <f t="array" ref="E78">IFERROR(INDEX(Table_BDD[[Trade n°]:[Note du résultat]],SMALL(IF(Table_BDD[Note du résultat]="-",ROW(Table_BDD[Note du résultat])),ROWS(BDD!$M$4:P177))-3,1),"")</f>
        <v/>
      </c>
      <c r="F78" s="118" t="str">
        <f t="array" ref="F78">IFERROR(INDEX(Table_BDD[[Trade n°]:[Note du résultat]],SMALL(IF(Table_BDD[Note du résultat]="--",ROW(Table_BDD[Note du résultat])),ROWS(BDD!$M$4:Q177))-3,1),"")</f>
        <v/>
      </c>
    </row>
    <row r="79" spans="1:6" x14ac:dyDescent="0.2">
      <c r="A79" s="125">
        <f t="shared" si="3"/>
        <v>78</v>
      </c>
      <c r="B79" s="126" t="str">
        <f t="array" ref="B79">IFERROR(INDEX(Table_BDD[[Trade n°]:[Note du résultat]],SMALL(IF(Table_BDD[Note du résultat]="++",ROW(Table_BDD[Note du résultat])),ROWS(BDD!$M$4:M178))-3,1),"")</f>
        <v/>
      </c>
      <c r="C79" s="119" t="str">
        <f t="array" ref="C79">IFERROR(INDEX(Table_BDD[[Trade n°]:[Note du résultat]],SMALL(IF(Table_BDD[Note du résultat]="+",ROW(Table_BDD[Note du résultat])),ROWS(BDD!$M$4:N178))-3,1),"")</f>
        <v/>
      </c>
      <c r="D79" s="120" t="str">
        <f t="array" ref="D79">IFERROR(INDEX(Table_BDD[[Trade n°]:[Note du résultat]],SMALL(IF(Table_BDD[Note du résultat]="0",ROW(Table_BDD[Note du résultat])),ROWS(BDD!$M$4:O178))-3,1),"")</f>
        <v/>
      </c>
      <c r="E79" s="121" t="str">
        <f t="array" ref="E79">IFERROR(INDEX(Table_BDD[[Trade n°]:[Note du résultat]],SMALL(IF(Table_BDD[Note du résultat]="-",ROW(Table_BDD[Note du résultat])),ROWS(BDD!$M$4:P178))-3,1),"")</f>
        <v/>
      </c>
      <c r="F79" s="122" t="str">
        <f t="array" ref="F79">IFERROR(INDEX(Table_BDD[[Trade n°]:[Note du résultat]],SMALL(IF(Table_BDD[Note du résultat]="--",ROW(Table_BDD[Note du résultat])),ROWS(BDD!$M$4:Q178))-3,1),"")</f>
        <v/>
      </c>
    </row>
    <row r="80" spans="1:6" x14ac:dyDescent="0.2">
      <c r="A80" s="124">
        <f t="shared" si="3"/>
        <v>79</v>
      </c>
      <c r="B80" s="114" t="str">
        <f t="array" ref="B80">IFERROR(INDEX(Table_BDD[[Trade n°]:[Note du résultat]],SMALL(IF(Table_BDD[Note du résultat]="++",ROW(Table_BDD[Note du résultat])),ROWS(BDD!$M$4:M179))-3,1),"")</f>
        <v/>
      </c>
      <c r="C80" s="115" t="str">
        <f t="array" ref="C80">IFERROR(INDEX(Table_BDD[[Trade n°]:[Note du résultat]],SMALL(IF(Table_BDD[Note du résultat]="+",ROW(Table_BDD[Note du résultat])),ROWS(BDD!$M$4:N179))-3,1),"")</f>
        <v/>
      </c>
      <c r="D80" s="116" t="str">
        <f t="array" ref="D80">IFERROR(INDEX(Table_BDD[[Trade n°]:[Note du résultat]],SMALL(IF(Table_BDD[Note du résultat]="0",ROW(Table_BDD[Note du résultat])),ROWS(BDD!$M$4:O179))-3,1),"")</f>
        <v/>
      </c>
      <c r="E80" s="117" t="str">
        <f t="array" ref="E80">IFERROR(INDEX(Table_BDD[[Trade n°]:[Note du résultat]],SMALL(IF(Table_BDD[Note du résultat]="-",ROW(Table_BDD[Note du résultat])),ROWS(BDD!$M$4:P179))-3,1),"")</f>
        <v/>
      </c>
      <c r="F80" s="118" t="str">
        <f t="array" ref="F80">IFERROR(INDEX(Table_BDD[[Trade n°]:[Note du résultat]],SMALL(IF(Table_BDD[Note du résultat]="--",ROW(Table_BDD[Note du résultat])),ROWS(BDD!$M$4:Q179))-3,1),"")</f>
        <v/>
      </c>
    </row>
    <row r="81" spans="1:6" x14ac:dyDescent="0.2">
      <c r="A81" s="125">
        <f t="shared" si="3"/>
        <v>80</v>
      </c>
      <c r="B81" s="126" t="str">
        <f t="array" ref="B81">IFERROR(INDEX(Table_BDD[[Trade n°]:[Note du résultat]],SMALL(IF(Table_BDD[Note du résultat]="++",ROW(Table_BDD[Note du résultat])),ROWS(BDD!$M$4:M180))-3,1),"")</f>
        <v/>
      </c>
      <c r="C81" s="119" t="str">
        <f t="array" ref="C81">IFERROR(INDEX(Table_BDD[[Trade n°]:[Note du résultat]],SMALL(IF(Table_BDD[Note du résultat]="+",ROW(Table_BDD[Note du résultat])),ROWS(BDD!$M$4:N180))-3,1),"")</f>
        <v/>
      </c>
      <c r="D81" s="120" t="str">
        <f t="array" ref="D81">IFERROR(INDEX(Table_BDD[[Trade n°]:[Note du résultat]],SMALL(IF(Table_BDD[Note du résultat]="0",ROW(Table_BDD[Note du résultat])),ROWS(BDD!$M$4:O180))-3,1),"")</f>
        <v/>
      </c>
      <c r="E81" s="121" t="str">
        <f t="array" ref="E81">IFERROR(INDEX(Table_BDD[[Trade n°]:[Note du résultat]],SMALL(IF(Table_BDD[Note du résultat]="-",ROW(Table_BDD[Note du résultat])),ROWS(BDD!$M$4:P180))-3,1),"")</f>
        <v/>
      </c>
      <c r="F81" s="122" t="str">
        <f t="array" ref="F81">IFERROR(INDEX(Table_BDD[[Trade n°]:[Note du résultat]],SMALL(IF(Table_BDD[Note du résultat]="--",ROW(Table_BDD[Note du résultat])),ROWS(BDD!$M$4:Q180))-3,1),"")</f>
        <v/>
      </c>
    </row>
    <row r="82" spans="1:6" x14ac:dyDescent="0.2">
      <c r="A82" s="124">
        <f t="shared" si="3"/>
        <v>81</v>
      </c>
      <c r="B82" s="114" t="str">
        <f t="array" ref="B82">IFERROR(INDEX(Table_BDD[[Trade n°]:[Note du résultat]],SMALL(IF(Table_BDD[Note du résultat]="++",ROW(Table_BDD[Note du résultat])),ROWS(BDD!$M$4:M181))-3,1),"")</f>
        <v/>
      </c>
      <c r="C82" s="115" t="str">
        <f t="array" ref="C82">IFERROR(INDEX(Table_BDD[[Trade n°]:[Note du résultat]],SMALL(IF(Table_BDD[Note du résultat]="+",ROW(Table_BDD[Note du résultat])),ROWS(BDD!$M$4:N181))-3,1),"")</f>
        <v/>
      </c>
      <c r="D82" s="116" t="str">
        <f t="array" ref="D82">IFERROR(INDEX(Table_BDD[[Trade n°]:[Note du résultat]],SMALL(IF(Table_BDD[Note du résultat]="0",ROW(Table_BDD[Note du résultat])),ROWS(BDD!$M$4:O181))-3,1),"")</f>
        <v/>
      </c>
      <c r="E82" s="117" t="str">
        <f t="array" ref="E82">IFERROR(INDEX(Table_BDD[[Trade n°]:[Note du résultat]],SMALL(IF(Table_BDD[Note du résultat]="-",ROW(Table_BDD[Note du résultat])),ROWS(BDD!$M$4:P181))-3,1),"")</f>
        <v/>
      </c>
      <c r="F82" s="118" t="str">
        <f t="array" ref="F82">IFERROR(INDEX(Table_BDD[[Trade n°]:[Note du résultat]],SMALL(IF(Table_BDD[Note du résultat]="--",ROW(Table_BDD[Note du résultat])),ROWS(BDD!$M$4:Q181))-3,1),"")</f>
        <v/>
      </c>
    </row>
    <row r="83" spans="1:6" x14ac:dyDescent="0.2">
      <c r="A83" s="125">
        <f t="shared" si="3"/>
        <v>82</v>
      </c>
      <c r="B83" s="126" t="str">
        <f t="array" ref="B83">IFERROR(INDEX(Table_BDD[[Trade n°]:[Note du résultat]],SMALL(IF(Table_BDD[Note du résultat]="++",ROW(Table_BDD[Note du résultat])),ROWS(BDD!$M$4:M182))-3,1),"")</f>
        <v/>
      </c>
      <c r="C83" s="119" t="str">
        <f t="array" ref="C83">IFERROR(INDEX(Table_BDD[[Trade n°]:[Note du résultat]],SMALL(IF(Table_BDD[Note du résultat]="+",ROW(Table_BDD[Note du résultat])),ROWS(BDD!$M$4:N182))-3,1),"")</f>
        <v/>
      </c>
      <c r="D83" s="120" t="str">
        <f t="array" ref="D83">IFERROR(INDEX(Table_BDD[[Trade n°]:[Note du résultat]],SMALL(IF(Table_BDD[Note du résultat]="0",ROW(Table_BDD[Note du résultat])),ROWS(BDD!$M$4:O182))-3,1),"")</f>
        <v/>
      </c>
      <c r="E83" s="121" t="str">
        <f t="array" ref="E83">IFERROR(INDEX(Table_BDD[[Trade n°]:[Note du résultat]],SMALL(IF(Table_BDD[Note du résultat]="-",ROW(Table_BDD[Note du résultat])),ROWS(BDD!$M$4:P182))-3,1),"")</f>
        <v/>
      </c>
      <c r="F83" s="122" t="str">
        <f t="array" ref="F83">IFERROR(INDEX(Table_BDD[[Trade n°]:[Note du résultat]],SMALL(IF(Table_BDD[Note du résultat]="--",ROW(Table_BDD[Note du résultat])),ROWS(BDD!$M$4:Q182))-3,1),"")</f>
        <v/>
      </c>
    </row>
    <row r="84" spans="1:6" x14ac:dyDescent="0.2">
      <c r="A84" s="124">
        <f t="shared" si="3"/>
        <v>83</v>
      </c>
      <c r="B84" s="114" t="str">
        <f t="array" ref="B84">IFERROR(INDEX(Table_BDD[[Trade n°]:[Note du résultat]],SMALL(IF(Table_BDD[Note du résultat]="++",ROW(Table_BDD[Note du résultat])),ROWS(BDD!$M$4:M183))-3,1),"")</f>
        <v/>
      </c>
      <c r="C84" s="115" t="str">
        <f t="array" ref="C84">IFERROR(INDEX(Table_BDD[[Trade n°]:[Note du résultat]],SMALL(IF(Table_BDD[Note du résultat]="+",ROW(Table_BDD[Note du résultat])),ROWS(BDD!$M$4:N183))-3,1),"")</f>
        <v/>
      </c>
      <c r="D84" s="116" t="str">
        <f t="array" ref="D84">IFERROR(INDEX(#REF!,SMALL(IF(Table_BDD[Note du résultat]="0",ROW(Table_BDD[Note du résultat])),ROWS(BDD!#REF!))-3,1),"")</f>
        <v/>
      </c>
      <c r="E84" s="117" t="str">
        <f t="array" ref="E84">IFERROR(INDEX(Table_BDD[[Trade n°]:[Note du résultat]],SMALL(IF(Table_BDD[Note du résultat]="-",ROW(Table_BDD[Note du résultat])),ROWS(BDD!$M$4:P183))-3,1),"")</f>
        <v/>
      </c>
      <c r="F84" s="118" t="str">
        <f t="array" ref="F84">IFERROR(INDEX(#REF!,SMALL(IF(Table_BDD[Note du résultat]="--",ROW(Table_BDD[Note du résultat])),ROWS(BDD!#REF!))-3,1),"")</f>
        <v/>
      </c>
    </row>
    <row r="85" spans="1:6" x14ac:dyDescent="0.2">
      <c r="A85" s="125">
        <f t="shared" si="3"/>
        <v>84</v>
      </c>
      <c r="B85" s="126" t="str">
        <f t="array" ref="B85">IFERROR(INDEX(Table_BDD[[Trade n°]:[Note du résultat]],SMALL(IF(Table_BDD[Note du résultat]="++",ROW(Table_BDD[Note du résultat])),ROWS(BDD!$M$4:M184))-3,1),"")</f>
        <v/>
      </c>
      <c r="C85" s="119" t="str">
        <f t="array" ref="C85">IFERROR(INDEX(Table_BDD[[Trade n°]:[Note du résultat]],SMALL(IF(Table_BDD[Note du résultat]="+",ROW(Table_BDD[Note du résultat])),ROWS(BDD!$M$4:N184))-3,1),"")</f>
        <v/>
      </c>
      <c r="D85" s="120" t="str">
        <f t="array" ref="D85">IFERROR(INDEX(#REF!,SMALL(IF(Table_BDD[Note du résultat]="0",ROW(Table_BDD[Note du résultat])),ROWS(BDD!#REF!))-3,1),"")</f>
        <v/>
      </c>
      <c r="E85" s="121" t="str">
        <f t="array" ref="E85">IFERROR(INDEX(Table_BDD[[Trade n°]:[Note du résultat]],SMALL(IF(Table_BDD[Note du résultat]="-",ROW(Table_BDD[Note du résultat])),ROWS(BDD!$M$4:P184))-3,1),"")</f>
        <v/>
      </c>
      <c r="F85" s="122" t="str">
        <f t="array" ref="F85">IFERROR(INDEX(#REF!,SMALL(IF(Table_BDD[Note du résultat]="--",ROW(Table_BDD[Note du résultat])),ROWS(BDD!#REF!))-3,1),"")</f>
        <v/>
      </c>
    </row>
  </sheetData>
  <sheetProtection sheet="1" objects="1" scenarios="1" selectLockedCells="1"/>
  <pageMargins left="0.7" right="0.7" top="0.75" bottom="0.75" header="0.3" footer="0.3"/>
  <pageSetup paperSize="9" orientation="portrait" horizontalDpi="1200" verticalDpi="1200" r:id="rId1"/>
  <tableParts count="1">
    <tablePart r:id="rId2"/>
  </tablePart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86F882E-FDD2-4401-B6BF-FEEB5C2DB3D6}">
  <sheetPr codeName="Feuil16"/>
  <dimension ref="A1:B40"/>
  <sheetViews>
    <sheetView showGridLines="0" tabSelected="1" workbookViewId="0">
      <selection activeCell="A14" sqref="A14:B16"/>
    </sheetView>
  </sheetViews>
  <sheetFormatPr baseColWidth="10" defaultColWidth="0" defaultRowHeight="14.25" zeroHeight="1" x14ac:dyDescent="0.2"/>
  <cols>
    <col min="1" max="1" width="11.625" customWidth="1"/>
    <col min="2" max="2" width="164.75" bestFit="1" customWidth="1"/>
    <col min="3" max="16384" width="11.625" hidden="1"/>
  </cols>
  <sheetData>
    <row r="1" spans="1:2" x14ac:dyDescent="0.2">
      <c r="A1" s="58" t="s">
        <v>117</v>
      </c>
      <c r="B1" s="58" t="s">
        <v>109</v>
      </c>
    </row>
    <row r="2" spans="1:2" x14ac:dyDescent="0.2">
      <c r="A2" s="58" t="s">
        <v>116</v>
      </c>
      <c r="B2" s="58" t="s">
        <v>110</v>
      </c>
    </row>
    <row r="3" spans="1:2" x14ac:dyDescent="0.2">
      <c r="A3" s="58" t="s">
        <v>114</v>
      </c>
      <c r="B3" s="58" t="s">
        <v>111</v>
      </c>
    </row>
    <row r="4" spans="1:2" x14ac:dyDescent="0.2">
      <c r="A4" s="58" t="s">
        <v>120</v>
      </c>
      <c r="B4" s="58" t="s">
        <v>164</v>
      </c>
    </row>
    <row r="5" spans="1:2" x14ac:dyDescent="0.2">
      <c r="A5" s="58" t="s">
        <v>123</v>
      </c>
      <c r="B5" s="58" t="s">
        <v>124</v>
      </c>
    </row>
    <row r="6" spans="1:2" x14ac:dyDescent="0.2">
      <c r="A6" s="58" t="s">
        <v>115</v>
      </c>
      <c r="B6" s="58" t="s">
        <v>112</v>
      </c>
    </row>
    <row r="7" spans="1:2" x14ac:dyDescent="0.2">
      <c r="A7" s="58" t="s">
        <v>121</v>
      </c>
      <c r="B7" s="58" t="s">
        <v>122</v>
      </c>
    </row>
    <row r="8" spans="1:2" x14ac:dyDescent="0.2">
      <c r="A8" s="58" t="s">
        <v>176</v>
      </c>
      <c r="B8" s="58" t="s">
        <v>191</v>
      </c>
    </row>
    <row r="9" spans="1:2" x14ac:dyDescent="0.2">
      <c r="A9" s="58" t="s">
        <v>188</v>
      </c>
      <c r="B9" s="58" t="s">
        <v>189</v>
      </c>
    </row>
    <row r="10" spans="1:2" x14ac:dyDescent="0.2">
      <c r="A10" s="58" t="s">
        <v>204</v>
      </c>
      <c r="B10" s="58" t="s">
        <v>205</v>
      </c>
    </row>
    <row r="11" spans="1:2" x14ac:dyDescent="0.2">
      <c r="A11" s="58" t="s">
        <v>238</v>
      </c>
      <c r="B11" s="58" t="s">
        <v>239</v>
      </c>
    </row>
    <row r="12" spans="1:2" x14ac:dyDescent="0.2">
      <c r="A12" s="58" t="s">
        <v>240</v>
      </c>
      <c r="B12" s="58" t="s">
        <v>244</v>
      </c>
    </row>
    <row r="13" spans="1:2" x14ac:dyDescent="0.2">
      <c r="A13" s="58" t="s">
        <v>241</v>
      </c>
      <c r="B13" s="58" t="s">
        <v>242</v>
      </c>
    </row>
    <row r="14" spans="1:2" x14ac:dyDescent="0.2">
      <c r="A14" s="58" t="s">
        <v>255</v>
      </c>
      <c r="B14" s="58" t="s">
        <v>256</v>
      </c>
    </row>
    <row r="15" spans="1:2" x14ac:dyDescent="0.2">
      <c r="A15" s="58" t="s">
        <v>265</v>
      </c>
      <c r="B15" s="58" t="s">
        <v>266</v>
      </c>
    </row>
    <row r="16" spans="1:2" x14ac:dyDescent="0.2">
      <c r="A16" s="58" t="s">
        <v>267</v>
      </c>
      <c r="B16" s="58" t="s">
        <v>268</v>
      </c>
    </row>
    <row r="17" x14ac:dyDescent="0.2"/>
    <row r="18" x14ac:dyDescent="0.2"/>
    <row r="19" x14ac:dyDescent="0.2"/>
    <row r="20" x14ac:dyDescent="0.2"/>
    <row r="21" x14ac:dyDescent="0.2"/>
    <row r="22" x14ac:dyDescent="0.2"/>
    <row r="23" x14ac:dyDescent="0.2"/>
    <row r="24" x14ac:dyDescent="0.2"/>
    <row r="25" x14ac:dyDescent="0.2"/>
    <row r="26" x14ac:dyDescent="0.2"/>
    <row r="27" x14ac:dyDescent="0.2"/>
    <row r="28" x14ac:dyDescent="0.2"/>
    <row r="29" x14ac:dyDescent="0.2"/>
    <row r="30" x14ac:dyDescent="0.2"/>
    <row r="31" x14ac:dyDescent="0.2"/>
    <row r="32" x14ac:dyDescent="0.2"/>
    <row r="33" x14ac:dyDescent="0.2"/>
    <row r="34" x14ac:dyDescent="0.2"/>
    <row r="35" x14ac:dyDescent="0.2"/>
    <row r="36" x14ac:dyDescent="0.2"/>
    <row r="37" x14ac:dyDescent="0.2"/>
    <row r="38" x14ac:dyDescent="0.2"/>
    <row r="39" x14ac:dyDescent="0.2"/>
    <row r="40" x14ac:dyDescent="0.2"/>
  </sheetData>
  <sheetProtection selectLockedCells="1"/>
  <phoneticPr fontId="3" type="noConversion"/>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4B4BD94-D989-40AA-AEC8-8473A7EF7E1D}">
  <sheetPr codeName="Feuil19"/>
  <dimension ref="A1:B40"/>
  <sheetViews>
    <sheetView showGridLines="0" workbookViewId="0">
      <selection activeCell="B16" sqref="B16"/>
    </sheetView>
  </sheetViews>
  <sheetFormatPr baseColWidth="10" defaultColWidth="0" defaultRowHeight="14.25" customHeight="1" zeroHeight="1" x14ac:dyDescent="0.2"/>
  <cols>
    <col min="1" max="1" width="11.625" customWidth="1"/>
    <col min="2" max="2" width="60.125" customWidth="1"/>
    <col min="3" max="16384" width="11.625" hidden="1"/>
  </cols>
  <sheetData>
    <row r="1" spans="1:2" x14ac:dyDescent="0.2">
      <c r="A1" s="58" t="s">
        <v>125</v>
      </c>
      <c r="B1" s="58" t="s">
        <v>126</v>
      </c>
    </row>
    <row r="2" spans="1:2" x14ac:dyDescent="0.2">
      <c r="A2" s="58" t="s">
        <v>190</v>
      </c>
      <c r="B2" s="58" t="s">
        <v>113</v>
      </c>
    </row>
    <row r="3" spans="1:2" x14ac:dyDescent="0.2">
      <c r="A3" s="58"/>
      <c r="B3" s="58"/>
    </row>
    <row r="4" spans="1:2" x14ac:dyDescent="0.2">
      <c r="A4" s="58"/>
      <c r="B4" s="58"/>
    </row>
    <row r="5" spans="1:2" x14ac:dyDescent="0.2">
      <c r="A5" s="58"/>
      <c r="B5" s="58"/>
    </row>
    <row r="6" spans="1:2" x14ac:dyDescent="0.2"/>
    <row r="7" spans="1:2" x14ac:dyDescent="0.2"/>
    <row r="8" spans="1:2" x14ac:dyDescent="0.2"/>
    <row r="9" spans="1:2" ht="14.25" customHeight="1" x14ac:dyDescent="0.2"/>
    <row r="10" spans="1:2" ht="14.25" customHeight="1" x14ac:dyDescent="0.2"/>
    <row r="11" spans="1:2" ht="14.25" customHeight="1" x14ac:dyDescent="0.2"/>
    <row r="12" spans="1:2" x14ac:dyDescent="0.2"/>
    <row r="13" spans="1:2" x14ac:dyDescent="0.2"/>
    <row r="14" spans="1:2" x14ac:dyDescent="0.2"/>
    <row r="15" spans="1:2" x14ac:dyDescent="0.2"/>
    <row r="16" spans="1:2" x14ac:dyDescent="0.2"/>
    <row r="17" x14ac:dyDescent="0.2"/>
    <row r="18" x14ac:dyDescent="0.2"/>
    <row r="19" x14ac:dyDescent="0.2"/>
    <row r="20" x14ac:dyDescent="0.2"/>
    <row r="21" x14ac:dyDescent="0.2"/>
    <row r="22" x14ac:dyDescent="0.2"/>
    <row r="23" x14ac:dyDescent="0.2"/>
    <row r="24" x14ac:dyDescent="0.2"/>
    <row r="25" x14ac:dyDescent="0.2"/>
    <row r="26" x14ac:dyDescent="0.2"/>
    <row r="27" x14ac:dyDescent="0.2"/>
    <row r="28" x14ac:dyDescent="0.2"/>
    <row r="29" x14ac:dyDescent="0.2"/>
    <row r="30" x14ac:dyDescent="0.2"/>
    <row r="31" x14ac:dyDescent="0.2"/>
    <row r="32" x14ac:dyDescent="0.2"/>
    <row r="33" x14ac:dyDescent="0.2"/>
    <row r="34" x14ac:dyDescent="0.2"/>
    <row r="35" x14ac:dyDescent="0.2"/>
    <row r="36" x14ac:dyDescent="0.2"/>
    <row r="37" x14ac:dyDescent="0.2"/>
    <row r="38" x14ac:dyDescent="0.2"/>
    <row r="39" x14ac:dyDescent="0.2"/>
    <row r="40" ht="14.25" customHeight="1" x14ac:dyDescent="0.2"/>
  </sheetData>
  <sheetProtection sheet="1" objects="1" scenarios="1" selectLockedCells="1"/>
  <phoneticPr fontId="3" type="noConversion"/>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C0CC489A-0BD2-49B6-974D-0D43A2AF17CF}">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20</vt:i4>
      </vt:variant>
      <vt:variant>
        <vt:lpstr>Plages nommées</vt:lpstr>
      </vt:variant>
      <vt:variant>
        <vt:i4>1</vt:i4>
      </vt:variant>
    </vt:vector>
  </HeadingPairs>
  <TitlesOfParts>
    <vt:vector size="21" baseType="lpstr">
      <vt:lpstr>Listes</vt:lpstr>
      <vt:lpstr>Général - Max Drawdown</vt:lpstr>
      <vt:lpstr>BDD</vt:lpstr>
      <vt:lpstr>Général - Gain Equité</vt:lpstr>
      <vt:lpstr>Général - Note</vt:lpstr>
      <vt:lpstr>Général - Ratio Gagnant perdant</vt:lpstr>
      <vt:lpstr>Général Tableau des conformités</vt:lpstr>
      <vt:lpstr>Général - points</vt:lpstr>
      <vt:lpstr>Taux EUR USD Journaliers BCE</vt:lpstr>
      <vt:lpstr>Général - Tableau Drawdown</vt:lpstr>
      <vt:lpstr>Général - évolution points</vt:lpstr>
      <vt:lpstr>Général - Gains Pertes Points</vt:lpstr>
      <vt:lpstr>Général - Profit Factor</vt:lpstr>
      <vt:lpstr>Général - calendrier dynamique</vt:lpstr>
      <vt:lpstr>Calculs jour</vt:lpstr>
      <vt:lpstr>Tableau de bord General</vt:lpstr>
      <vt:lpstr>Tableau de bord Jours</vt:lpstr>
      <vt:lpstr>Tableau Analyse</vt:lpstr>
      <vt:lpstr>Historique version</vt:lpstr>
      <vt:lpstr>Jalons</vt:lpstr>
      <vt:lpstr>Listes!Version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Journal de Trading</dc:title>
  <dc:subject>5290191:Gaëtan De FREITAS</dc:subject>
  <dc:creator>Garex</dc:creator>
  <cp:keywords>Trading; Bourse; Journal; Evaluation; Analyse</cp:keywords>
  <dc:description>Journal de Trading Dynamique via TCD</dc:description>
  <cp:lastModifiedBy>Gaëtan</cp:lastModifiedBy>
  <cp:revision>0</cp:revision>
  <dcterms:created xsi:type="dcterms:W3CDTF">2019-10-30T09:20:00Z</dcterms:created>
  <dcterms:modified xsi:type="dcterms:W3CDTF">2020-02-21T09:42:37Z</dcterms:modified>
  <cp:category>Reports;Journal de trading</cp:category>
  <cp:version>1</cp:version>
</cp:coreProperties>
</file>