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ropbox\Forex\Rapports\semaines\"/>
    </mc:Choice>
  </mc:AlternateContent>
  <bookViews>
    <workbookView xWindow="0" yWindow="0" windowWidth="20580" windowHeight="8925" tabRatio="793"/>
  </bookViews>
  <sheets>
    <sheet name="20 JUIN 2016" sheetId="6" r:id="rId1"/>
    <sheet name="21 JUIN 2016" sheetId="4" r:id="rId2"/>
    <sheet name="22 JUIN 2016" sheetId="7" r:id="rId3"/>
    <sheet name="23 JUIN 2016" sheetId="8" r:id="rId4"/>
    <sheet name="24 JUIN 2016" sheetId="9" r:id="rId5"/>
    <sheet name="Récap. Sem." sheetId="10" r:id="rId6"/>
    <sheet name="Graphs" sheetId="11" r:id="rId7"/>
  </sheets>
  <calcPr calcId="171027"/>
</workbook>
</file>

<file path=xl/calcChain.xml><?xml version="1.0" encoding="utf-8"?>
<calcChain xmlns="http://schemas.openxmlformats.org/spreadsheetml/2006/main">
  <c r="H20" i="10" l="1"/>
  <c r="H19" i="10"/>
  <c r="H18" i="10"/>
  <c r="H17" i="10"/>
  <c r="H16" i="10"/>
  <c r="H15" i="10"/>
  <c r="H14" i="10"/>
  <c r="H13" i="10"/>
  <c r="H12" i="10"/>
  <c r="H11" i="10"/>
  <c r="H10" i="10"/>
  <c r="H9" i="10"/>
  <c r="H7" i="10"/>
  <c r="H6" i="10"/>
  <c r="H5" i="10"/>
  <c r="H4" i="10"/>
  <c r="H3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7" i="10"/>
  <c r="G6" i="10"/>
  <c r="G5" i="10"/>
  <c r="G4" i="10"/>
  <c r="G3" i="10"/>
  <c r="F19" i="10"/>
  <c r="F20" i="10"/>
  <c r="F18" i="10"/>
  <c r="F17" i="10"/>
  <c r="F16" i="10"/>
  <c r="F15" i="10"/>
  <c r="F14" i="10"/>
  <c r="F13" i="10"/>
  <c r="F12" i="10"/>
  <c r="F11" i="10"/>
  <c r="F10" i="10"/>
  <c r="F9" i="10"/>
  <c r="F7" i="10"/>
  <c r="F6" i="10"/>
  <c r="F5" i="10"/>
  <c r="F8" i="10" s="1"/>
  <c r="F4" i="10"/>
  <c r="F3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6" i="10"/>
  <c r="E5" i="10"/>
  <c r="E8" i="10" s="1"/>
  <c r="E4" i="10"/>
  <c r="E3" i="10"/>
  <c r="E7" i="10"/>
  <c r="G8" i="10"/>
  <c r="H8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7" i="10"/>
  <c r="D6" i="10"/>
  <c r="D5" i="10"/>
  <c r="D4" i="10"/>
  <c r="D3" i="10"/>
  <c r="L6" i="9"/>
  <c r="M6" i="9" s="1"/>
  <c r="M7" i="9" s="1"/>
  <c r="M8" i="9" s="1"/>
  <c r="M9" i="9" s="1"/>
  <c r="M10" i="9" s="1"/>
  <c r="M11" i="9" s="1"/>
  <c r="M12" i="9" s="1"/>
  <c r="M13" i="9" s="1"/>
  <c r="M14" i="9" s="1"/>
  <c r="M15" i="9" s="1"/>
  <c r="M16" i="9" s="1"/>
  <c r="M17" i="9" s="1"/>
  <c r="M18" i="9" s="1"/>
  <c r="M19" i="9" s="1"/>
  <c r="M20" i="9" s="1"/>
  <c r="M21" i="9" s="1"/>
  <c r="M22" i="9" s="1"/>
  <c r="O6" i="9"/>
  <c r="L7" i="9"/>
  <c r="O7" i="9"/>
  <c r="L8" i="9"/>
  <c r="O8" i="9"/>
  <c r="L9" i="9"/>
  <c r="O9" i="9"/>
  <c r="L10" i="9"/>
  <c r="O10" i="9"/>
  <c r="L11" i="9"/>
  <c r="O11" i="9"/>
  <c r="L12" i="9"/>
  <c r="O12" i="9"/>
  <c r="L13" i="9"/>
  <c r="O13" i="9"/>
  <c r="L14" i="9"/>
  <c r="O14" i="9"/>
  <c r="L15" i="9"/>
  <c r="O15" i="9"/>
  <c r="L16" i="9"/>
  <c r="O16" i="9"/>
  <c r="L17" i="9"/>
  <c r="O17" i="9"/>
  <c r="L18" i="9"/>
  <c r="O18" i="9"/>
  <c r="L19" i="9"/>
  <c r="O19" i="9"/>
  <c r="L20" i="9"/>
  <c r="O20" i="9"/>
  <c r="L21" i="9"/>
  <c r="O21" i="9"/>
  <c r="L22" i="9"/>
  <c r="O22" i="9"/>
  <c r="L6" i="8"/>
  <c r="M6" i="8" s="1"/>
  <c r="M7" i="8" s="1"/>
  <c r="M8" i="8" s="1"/>
  <c r="M9" i="8" s="1"/>
  <c r="M10" i="8" s="1"/>
  <c r="M11" i="8" s="1"/>
  <c r="M12" i="8" s="1"/>
  <c r="M13" i="8" s="1"/>
  <c r="M14" i="8" s="1"/>
  <c r="M15" i="8" s="1"/>
  <c r="M16" i="8" s="1"/>
  <c r="M17" i="8" s="1"/>
  <c r="M18" i="8" s="1"/>
  <c r="M19" i="8" s="1"/>
  <c r="M20" i="8" s="1"/>
  <c r="O6" i="8"/>
  <c r="L7" i="8"/>
  <c r="O7" i="8"/>
  <c r="L8" i="8"/>
  <c r="O8" i="8"/>
  <c r="L9" i="8"/>
  <c r="O9" i="8"/>
  <c r="L10" i="8"/>
  <c r="O10" i="8"/>
  <c r="L11" i="8"/>
  <c r="O11" i="8"/>
  <c r="L12" i="8"/>
  <c r="O12" i="8"/>
  <c r="L13" i="8"/>
  <c r="O13" i="8"/>
  <c r="L14" i="8"/>
  <c r="O14" i="8"/>
  <c r="L15" i="8"/>
  <c r="O15" i="8"/>
  <c r="L16" i="8"/>
  <c r="O16" i="8"/>
  <c r="L17" i="8"/>
  <c r="O17" i="8"/>
  <c r="L18" i="8"/>
  <c r="O18" i="8"/>
  <c r="L19" i="8"/>
  <c r="O19" i="8"/>
  <c r="L20" i="8"/>
  <c r="O20" i="8"/>
  <c r="L6" i="7"/>
  <c r="M6" i="7" s="1"/>
  <c r="M7" i="7" s="1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N6" i="7"/>
  <c r="O6" i="7"/>
  <c r="L7" i="7"/>
  <c r="N7" i="7"/>
  <c r="O7" i="7"/>
  <c r="L8" i="7"/>
  <c r="N8" i="7"/>
  <c r="O8" i="7"/>
  <c r="L9" i="7"/>
  <c r="N9" i="7"/>
  <c r="O9" i="7"/>
  <c r="L10" i="7"/>
  <c r="N10" i="7"/>
  <c r="O10" i="7"/>
  <c r="L11" i="7"/>
  <c r="N11" i="7"/>
  <c r="O11" i="7"/>
  <c r="L12" i="7"/>
  <c r="N12" i="7"/>
  <c r="O12" i="7"/>
  <c r="L13" i="7"/>
  <c r="N13" i="7"/>
  <c r="O13" i="7"/>
  <c r="L14" i="7"/>
  <c r="N14" i="7"/>
  <c r="O14" i="7"/>
  <c r="L15" i="7"/>
  <c r="N15" i="7"/>
  <c r="O15" i="7"/>
  <c r="L16" i="7"/>
  <c r="N16" i="7"/>
  <c r="O16" i="7"/>
  <c r="L17" i="7"/>
  <c r="N17" i="7"/>
  <c r="O17" i="7"/>
  <c r="L18" i="7"/>
  <c r="N18" i="7"/>
  <c r="O18" i="7"/>
  <c r="L19" i="7"/>
  <c r="N19" i="7"/>
  <c r="O19" i="7"/>
  <c r="L20" i="7"/>
  <c r="N20" i="7"/>
  <c r="O20" i="7"/>
  <c r="L21" i="7"/>
  <c r="N21" i="7"/>
  <c r="O21" i="7"/>
  <c r="L22" i="7"/>
  <c r="N22" i="7"/>
  <c r="O22" i="7"/>
  <c r="L23" i="7"/>
  <c r="N23" i="7"/>
  <c r="O23" i="7"/>
  <c r="L6" i="6"/>
  <c r="M6" i="6" s="1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M19" i="6" s="1"/>
  <c r="M20" i="6" s="1"/>
  <c r="M21" i="6" s="1"/>
  <c r="M22" i="6" s="1"/>
  <c r="M23" i="6" s="1"/>
  <c r="O6" i="6"/>
  <c r="L7" i="6"/>
  <c r="O7" i="6"/>
  <c r="L8" i="6"/>
  <c r="O8" i="6"/>
  <c r="L9" i="6"/>
  <c r="O9" i="6"/>
  <c r="L10" i="6"/>
  <c r="O10" i="6"/>
  <c r="L11" i="6"/>
  <c r="O11" i="6"/>
  <c r="L12" i="6"/>
  <c r="O12" i="6"/>
  <c r="L13" i="6"/>
  <c r="O13" i="6"/>
  <c r="L14" i="6"/>
  <c r="O14" i="6"/>
  <c r="L15" i="6"/>
  <c r="O15" i="6"/>
  <c r="L16" i="6"/>
  <c r="O16" i="6"/>
  <c r="L17" i="6"/>
  <c r="O17" i="6"/>
  <c r="L18" i="6"/>
  <c r="O18" i="6"/>
  <c r="L19" i="6"/>
  <c r="O19" i="6"/>
  <c r="L20" i="6"/>
  <c r="O20" i="6"/>
  <c r="L21" i="6"/>
  <c r="O21" i="6"/>
  <c r="L22" i="6"/>
  <c r="O22" i="6"/>
  <c r="L23" i="6"/>
  <c r="O23" i="6"/>
  <c r="L6" i="4"/>
  <c r="M6" i="4" s="1"/>
  <c r="M7" i="4" s="1"/>
  <c r="M8" i="4" s="1"/>
  <c r="M9" i="4" s="1"/>
  <c r="M10" i="4" s="1"/>
  <c r="M11" i="4" s="1"/>
  <c r="M12" i="4" s="1"/>
  <c r="M13" i="4" s="1"/>
  <c r="M14" i="4" s="1"/>
  <c r="M15" i="4" s="1"/>
  <c r="M16" i="4" s="1"/>
  <c r="M17" i="4" s="1"/>
  <c r="M18" i="4" s="1"/>
  <c r="M19" i="4" s="1"/>
  <c r="M20" i="4" s="1"/>
  <c r="M21" i="4" s="1"/>
  <c r="M22" i="4" s="1"/>
  <c r="M23" i="4" s="1"/>
  <c r="M24" i="4" s="1"/>
  <c r="M25" i="4" s="1"/>
  <c r="M26" i="4" s="1"/>
  <c r="M27" i="4" s="1"/>
  <c r="M28" i="4" s="1"/>
  <c r="M29" i="4" s="1"/>
  <c r="M30" i="4" s="1"/>
  <c r="M31" i="4" s="1"/>
  <c r="N6" i="4"/>
  <c r="O6" i="4"/>
  <c r="L7" i="4"/>
  <c r="N7" i="4"/>
  <c r="O7" i="4"/>
  <c r="L8" i="4"/>
  <c r="N8" i="4"/>
  <c r="O8" i="4"/>
  <c r="L9" i="4"/>
  <c r="N9" i="4"/>
  <c r="O9" i="4"/>
  <c r="L10" i="4"/>
  <c r="N10" i="4"/>
  <c r="O10" i="4"/>
  <c r="L11" i="4"/>
  <c r="N11" i="4"/>
  <c r="O11" i="4"/>
  <c r="L12" i="4"/>
  <c r="N12" i="4"/>
  <c r="O12" i="4"/>
  <c r="L13" i="4"/>
  <c r="N13" i="4"/>
  <c r="O13" i="4"/>
  <c r="L14" i="4"/>
  <c r="N14" i="4"/>
  <c r="O14" i="4"/>
  <c r="L15" i="4"/>
  <c r="N15" i="4"/>
  <c r="O15" i="4"/>
  <c r="L16" i="4"/>
  <c r="N16" i="4"/>
  <c r="O16" i="4"/>
  <c r="L17" i="4"/>
  <c r="N17" i="4"/>
  <c r="O17" i="4"/>
  <c r="L18" i="4"/>
  <c r="N18" i="4"/>
  <c r="O18" i="4"/>
  <c r="L19" i="4"/>
  <c r="N19" i="4"/>
  <c r="O19" i="4"/>
  <c r="L20" i="4"/>
  <c r="N20" i="4"/>
  <c r="O20" i="4"/>
  <c r="L21" i="4"/>
  <c r="N21" i="4"/>
  <c r="O21" i="4"/>
  <c r="L22" i="4"/>
  <c r="N22" i="4"/>
  <c r="O22" i="4"/>
  <c r="L23" i="4"/>
  <c r="N23" i="4"/>
  <c r="N24" i="4" s="1"/>
  <c r="N25" i="4" s="1"/>
  <c r="N26" i="4" s="1"/>
  <c r="N27" i="4" s="1"/>
  <c r="N28" i="4" s="1"/>
  <c r="N29" i="4" s="1"/>
  <c r="N30" i="4" s="1"/>
  <c r="N31" i="4" s="1"/>
  <c r="O23" i="4"/>
  <c r="L24" i="4"/>
  <c r="O24" i="4"/>
  <c r="L25" i="4"/>
  <c r="O25" i="4"/>
  <c r="L26" i="4"/>
  <c r="O26" i="4"/>
  <c r="L27" i="4"/>
  <c r="O27" i="4"/>
  <c r="L28" i="4"/>
  <c r="O28" i="4"/>
  <c r="L29" i="4"/>
  <c r="O29" i="4"/>
  <c r="L30" i="4"/>
  <c r="O30" i="4"/>
  <c r="L31" i="4"/>
  <c r="O31" i="4"/>
  <c r="L5" i="4"/>
  <c r="B10" i="6" l="1"/>
  <c r="A5" i="8" l="1"/>
  <c r="A5" i="7"/>
  <c r="A5" i="4"/>
  <c r="A5" i="6"/>
  <c r="L4" i="9" l="1"/>
  <c r="L5" i="9"/>
  <c r="C22" i="8"/>
  <c r="C21" i="8"/>
  <c r="C20" i="8"/>
  <c r="C19" i="8"/>
  <c r="C18" i="8"/>
  <c r="C17" i="8"/>
  <c r="C16" i="8"/>
  <c r="C14" i="8"/>
  <c r="B22" i="8"/>
  <c r="B21" i="8"/>
  <c r="B20" i="8"/>
  <c r="B19" i="8"/>
  <c r="B18" i="8"/>
  <c r="B16" i="8"/>
  <c r="B14" i="8"/>
  <c r="C11" i="8"/>
  <c r="C10" i="8"/>
  <c r="C9" i="8"/>
  <c r="B10" i="8"/>
  <c r="L4" i="8"/>
  <c r="L5" i="8"/>
  <c r="O5" i="4"/>
  <c r="L4" i="7"/>
  <c r="L5" i="7"/>
  <c r="C19" i="7"/>
  <c r="C18" i="7"/>
  <c r="B19" i="7"/>
  <c r="B18" i="7"/>
  <c r="B10" i="7"/>
  <c r="L4" i="4"/>
  <c r="C19" i="4"/>
  <c r="C18" i="4"/>
  <c r="B10" i="4"/>
  <c r="O5" i="6"/>
  <c r="D14" i="6"/>
  <c r="C19" i="6"/>
  <c r="C18" i="6"/>
  <c r="B19" i="6"/>
  <c r="B18" i="6"/>
  <c r="B17" i="6"/>
  <c r="D14" i="4"/>
  <c r="B17" i="7"/>
  <c r="D14" i="8"/>
  <c r="B24" i="7" l="1"/>
  <c r="B18" i="4"/>
  <c r="N5" i="4"/>
  <c r="B19" i="4"/>
  <c r="B24" i="4" s="1"/>
  <c r="C20" i="6"/>
  <c r="B17" i="8"/>
  <c r="B20" i="6"/>
  <c r="C15" i="8"/>
  <c r="C20" i="7"/>
  <c r="B20" i="7"/>
  <c r="D14" i="7"/>
  <c r="D15" i="7" s="1"/>
  <c r="B20" i="4"/>
  <c r="C20" i="4"/>
  <c r="B17" i="4"/>
  <c r="D15" i="6"/>
  <c r="D15" i="4"/>
  <c r="D15" i="8"/>
  <c r="B15" i="8"/>
  <c r="B9" i="4" l="1"/>
  <c r="B11" i="4"/>
  <c r="C19" i="9"/>
  <c r="B19" i="9"/>
  <c r="C18" i="9"/>
  <c r="B18" i="9"/>
  <c r="B10" i="9"/>
  <c r="N5" i="9"/>
  <c r="N6" i="9" s="1"/>
  <c r="N7" i="9" s="1"/>
  <c r="N8" i="9" s="1"/>
  <c r="N9" i="9" s="1"/>
  <c r="N10" i="9" s="1"/>
  <c r="N11" i="9" s="1"/>
  <c r="N12" i="9" s="1"/>
  <c r="N13" i="9" s="1"/>
  <c r="N14" i="9" s="1"/>
  <c r="N15" i="9" s="1"/>
  <c r="N16" i="9" s="1"/>
  <c r="N17" i="9" s="1"/>
  <c r="N18" i="9" s="1"/>
  <c r="N19" i="9" s="1"/>
  <c r="N20" i="9" s="1"/>
  <c r="N21" i="9" s="1"/>
  <c r="N22" i="9" s="1"/>
  <c r="A5" i="9"/>
  <c r="A1" i="9"/>
  <c r="O5" i="9" l="1"/>
  <c r="M5" i="9"/>
  <c r="C22" i="9"/>
  <c r="C20" i="9"/>
  <c r="B14" i="9"/>
  <c r="B17" i="9"/>
  <c r="B21" i="9"/>
  <c r="C10" i="9"/>
  <c r="C14" i="9"/>
  <c r="C17" i="9"/>
  <c r="C21" i="9"/>
  <c r="D14" i="9"/>
  <c r="B20" i="9"/>
  <c r="B22" i="9"/>
  <c r="M5" i="8"/>
  <c r="N5" i="8"/>
  <c r="N6" i="8" l="1"/>
  <c r="N7" i="8" s="1"/>
  <c r="N8" i="8" s="1"/>
  <c r="N9" i="8" s="1"/>
  <c r="N10" i="8" s="1"/>
  <c r="N11" i="8" s="1"/>
  <c r="N12" i="8" s="1"/>
  <c r="N13" i="8" s="1"/>
  <c r="N14" i="8" s="1"/>
  <c r="N15" i="8" s="1"/>
  <c r="N16" i="8" s="1"/>
  <c r="N17" i="8" s="1"/>
  <c r="N18" i="8" s="1"/>
  <c r="N19" i="8" s="1"/>
  <c r="N20" i="8" s="1"/>
  <c r="B11" i="8"/>
  <c r="B9" i="8"/>
  <c r="B15" i="9"/>
  <c r="C15" i="9"/>
  <c r="D15" i="9"/>
  <c r="B11" i="9"/>
  <c r="O5" i="8"/>
  <c r="A1" i="8"/>
  <c r="C9" i="9" l="1"/>
  <c r="C11" i="9"/>
  <c r="B9" i="9"/>
  <c r="C16" i="9" l="1"/>
  <c r="B16" i="9"/>
  <c r="N5" i="7"/>
  <c r="C14" i="7" l="1"/>
  <c r="C15" i="7" s="1"/>
  <c r="B14" i="7"/>
  <c r="B15" i="7" s="1"/>
  <c r="B22" i="7"/>
  <c r="C22" i="7"/>
  <c r="C21" i="7"/>
  <c r="C17" i="7"/>
  <c r="B21" i="7"/>
  <c r="C10" i="7"/>
  <c r="A1" i="7"/>
  <c r="M5" i="7" l="1"/>
  <c r="O5" i="7"/>
  <c r="N5" i="6" l="1"/>
  <c r="N6" i="6" s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N20" i="6" s="1"/>
  <c r="N21" i="6" s="1"/>
  <c r="N22" i="6" s="1"/>
  <c r="N23" i="6" s="1"/>
  <c r="L5" i="6"/>
  <c r="L4" i="6"/>
  <c r="A1" i="6"/>
  <c r="A1" i="4"/>
  <c r="B21" i="6" l="1"/>
  <c r="B22" i="6"/>
  <c r="B14" i="6"/>
  <c r="B15" i="6" s="1"/>
  <c r="C22" i="6"/>
  <c r="C17" i="6"/>
  <c r="C21" i="6"/>
  <c r="C14" i="6"/>
  <c r="C15" i="6" s="1"/>
  <c r="C10" i="6"/>
  <c r="C9" i="7"/>
  <c r="C11" i="7"/>
  <c r="I3" i="10"/>
  <c r="M5" i="6"/>
  <c r="B9" i="6" l="1"/>
  <c r="B11" i="6"/>
  <c r="D8" i="10"/>
  <c r="I4" i="10"/>
  <c r="C11" i="6" l="1"/>
  <c r="C9" i="6"/>
  <c r="I14" i="10"/>
  <c r="I15" i="10" s="1"/>
  <c r="I12" i="10"/>
  <c r="I9" i="10"/>
  <c r="I10" i="10" s="1"/>
  <c r="I17" i="10"/>
  <c r="I18" i="10"/>
  <c r="I19" i="10"/>
  <c r="I20" i="10" s="1"/>
  <c r="I5" i="10"/>
  <c r="I13" i="10"/>
  <c r="C16" i="4" l="1"/>
  <c r="B16" i="4"/>
  <c r="B11" i="7" l="1"/>
  <c r="B9" i="7"/>
  <c r="C16" i="7" l="1"/>
  <c r="B16" i="7"/>
  <c r="I6" i="10"/>
  <c r="B16" i="6" l="1"/>
  <c r="C16" i="6"/>
  <c r="I16" i="10" l="1"/>
  <c r="I11" i="10"/>
  <c r="C15" i="4"/>
  <c r="B15" i="4"/>
  <c r="B21" i="4"/>
  <c r="B22" i="4"/>
  <c r="C14" i="4"/>
  <c r="B14" i="4"/>
  <c r="C10" i="4"/>
  <c r="C17" i="4"/>
  <c r="C21" i="4"/>
  <c r="C22" i="4"/>
  <c r="M5" i="4"/>
  <c r="C9" i="4" l="1"/>
  <c r="C11" i="4"/>
</calcChain>
</file>

<file path=xl/sharedStrings.xml><?xml version="1.0" encoding="utf-8"?>
<sst xmlns="http://schemas.openxmlformats.org/spreadsheetml/2006/main" count="182" uniqueCount="39">
  <si>
    <t>Marché</t>
  </si>
  <si>
    <t>Ouverture</t>
  </si>
  <si>
    <t>Fermeture</t>
  </si>
  <si>
    <t>Dif</t>
  </si>
  <si>
    <t>Résultat</t>
  </si>
  <si>
    <t>Capital</t>
  </si>
  <si>
    <t>Max down</t>
  </si>
  <si>
    <t>Max Up</t>
  </si>
  <si>
    <t>Gain</t>
  </si>
  <si>
    <t>Nb</t>
  </si>
  <si>
    <t>%</t>
  </si>
  <si>
    <t>Moyen</t>
  </si>
  <si>
    <t>Total</t>
  </si>
  <si>
    <t>#</t>
  </si>
  <si>
    <t>Pts</t>
  </si>
  <si>
    <t>Trades</t>
  </si>
  <si>
    <t>Max</t>
  </si>
  <si>
    <t>Flat</t>
  </si>
  <si>
    <t>Perd.</t>
  </si>
  <si>
    <t>Gagn.</t>
  </si>
  <si>
    <t>Cap.</t>
  </si>
  <si>
    <t>EVO</t>
  </si>
  <si>
    <t>Max pts</t>
  </si>
  <si>
    <t>Moyen pts</t>
  </si>
  <si>
    <t>Série</t>
  </si>
  <si>
    <t>Lot</t>
  </si>
  <si>
    <t>Total pts</t>
  </si>
  <si>
    <t>€</t>
  </si>
  <si>
    <t>Evolution</t>
  </si>
  <si>
    <t>Max Down</t>
  </si>
  <si>
    <t>Gagnants</t>
  </si>
  <si>
    <t>Perdants</t>
  </si>
  <si>
    <t>Flats</t>
  </si>
  <si>
    <t>Profit Factor</t>
  </si>
  <si>
    <t>Jour 1</t>
  </si>
  <si>
    <t>Jour 2</t>
  </si>
  <si>
    <t>Jour 3</t>
  </si>
  <si>
    <t>Jour 4</t>
  </si>
  <si>
    <t>Jour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</si>
</sst>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0.0"/>
    <numFmt numFmtId="166" formatCode="0;0"/>
    <numFmt numFmtId="167" formatCode="0.0;0.0"/>
    <numFmt numFmtId="168" formatCode="_-* #,##0.00\ &quot;€&quot;_-;\(#,##0.00\ &quot;€&quot;\);_-* &quot;-&quot;??\ &quot;€&quot;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1"/>
      <color rgb="FF383242"/>
      <name val="Calibri"/>
      <family val="2"/>
      <scheme val="minor"/>
    </font>
    <font>
      <b/>
      <sz val="12"/>
      <color rgb="FF383242"/>
      <name val="Calibri"/>
      <family val="2"/>
      <scheme val="minor"/>
    </font>
    <font>
      <b/>
      <sz val="14"/>
      <color rgb="FF38324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3832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/>
      <top/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2" fontId="0" fillId="0" borderId="0" xfId="0" applyNumberFormat="1"/>
    <xf numFmtId="0" fontId="16" fillId="0" borderId="0" xfId="0" applyFont="1"/>
    <xf numFmtId="44" fontId="0" fillId="0" borderId="0" xfId="42" applyFont="1"/>
    <xf numFmtId="0" fontId="18" fillId="0" borderId="0" xfId="0" applyFont="1"/>
    <xf numFmtId="1" fontId="0" fillId="0" borderId="0" xfId="42" applyNumberFormat="1" applyFont="1"/>
    <xf numFmtId="1" fontId="0" fillId="0" borderId="0" xfId="0" applyNumberFormat="1"/>
    <xf numFmtId="2" fontId="0" fillId="0" borderId="0" xfId="42" applyNumberFormat="1" applyFont="1"/>
    <xf numFmtId="165" fontId="18" fillId="33" borderId="10" xfId="42" applyNumberFormat="1" applyFont="1" applyFill="1" applyBorder="1"/>
    <xf numFmtId="164" fontId="19" fillId="0" borderId="0" xfId="18" applyNumberFormat="1" applyFont="1" applyFill="1" applyAlignment="1">
      <alignment horizontal="center"/>
    </xf>
    <xf numFmtId="0" fontId="0" fillId="0" borderId="0" xfId="0" applyFill="1"/>
    <xf numFmtId="165" fontId="0" fillId="0" borderId="0" xfId="42" applyNumberFormat="1" applyFont="1" applyFill="1" applyBorder="1"/>
    <xf numFmtId="165" fontId="18" fillId="0" borderId="0" xfId="42" applyNumberFormat="1" applyFont="1" applyFill="1" applyBorder="1"/>
    <xf numFmtId="44" fontId="18" fillId="33" borderId="12" xfId="42" applyFont="1" applyFill="1" applyBorder="1"/>
    <xf numFmtId="44" fontId="0" fillId="33" borderId="13" xfId="42" applyFont="1" applyFill="1" applyBorder="1"/>
    <xf numFmtId="165" fontId="0" fillId="33" borderId="14" xfId="42" applyNumberFormat="1" applyFont="1" applyFill="1" applyBorder="1"/>
    <xf numFmtId="44" fontId="0" fillId="33" borderId="15" xfId="42" applyFont="1" applyFill="1" applyBorder="1"/>
    <xf numFmtId="165" fontId="0" fillId="33" borderId="11" xfId="42" applyNumberFormat="1" applyFont="1" applyFill="1" applyBorder="1"/>
    <xf numFmtId="0" fontId="6" fillId="2" borderId="13" xfId="6" applyBorder="1"/>
    <xf numFmtId="9" fontId="6" fillId="2" borderId="12" xfId="43" applyFont="1" applyFill="1" applyBorder="1"/>
    <xf numFmtId="1" fontId="6" fillId="2" borderId="12" xfId="43" applyNumberFormat="1" applyFont="1" applyFill="1" applyBorder="1"/>
    <xf numFmtId="0" fontId="16" fillId="0" borderId="0" xfId="0" applyFont="1" applyFill="1" applyBorder="1" applyAlignment="1">
      <alignment horizontal="right"/>
    </xf>
    <xf numFmtId="0" fontId="21" fillId="20" borderId="8" xfId="29" applyFont="1" applyBorder="1" applyAlignment="1">
      <alignment horizontal="left" vertical="center"/>
    </xf>
    <xf numFmtId="0" fontId="21" fillId="20" borderId="8" xfId="29" applyFont="1" applyBorder="1" applyAlignment="1">
      <alignment horizontal="right" vertical="center"/>
    </xf>
    <xf numFmtId="0" fontId="21" fillId="20" borderId="8" xfId="29" applyFont="1" applyBorder="1" applyAlignment="1">
      <alignment horizontal="center" vertical="center"/>
    </xf>
    <xf numFmtId="0" fontId="7" fillId="3" borderId="16" xfId="7" applyBorder="1"/>
    <xf numFmtId="9" fontId="7" fillId="3" borderId="11" xfId="43" applyFont="1" applyFill="1" applyBorder="1"/>
    <xf numFmtId="1" fontId="7" fillId="3" borderId="11" xfId="43" applyNumberFormat="1" applyFont="1" applyFill="1" applyBorder="1"/>
    <xf numFmtId="0" fontId="21" fillId="20" borderId="17" xfId="29" applyFont="1" applyBorder="1" applyAlignment="1">
      <alignment horizontal="center" vertical="center"/>
    </xf>
    <xf numFmtId="0" fontId="0" fillId="35" borderId="10" xfId="0" applyFill="1" applyBorder="1"/>
    <xf numFmtId="9" fontId="0" fillId="35" borderId="10" xfId="43" applyFont="1" applyFill="1" applyBorder="1"/>
    <xf numFmtId="164" fontId="19" fillId="0" borderId="0" xfId="18" applyNumberFormat="1" applyFont="1" applyFill="1" applyAlignment="1"/>
    <xf numFmtId="0" fontId="21" fillId="20" borderId="18" xfId="29" applyFont="1" applyBorder="1" applyAlignment="1">
      <alignment horizontal="right" vertical="center"/>
    </xf>
    <xf numFmtId="165" fontId="0" fillId="33" borderId="12" xfId="42" applyNumberFormat="1" applyFont="1" applyFill="1" applyBorder="1"/>
    <xf numFmtId="166" fontId="0" fillId="0" borderId="0" xfId="42" applyNumberFormat="1" applyFont="1"/>
    <xf numFmtId="167" fontId="0" fillId="0" borderId="0" xfId="42" applyNumberFormat="1" applyFont="1"/>
    <xf numFmtId="168" fontId="1" fillId="0" borderId="0" xfId="42" applyNumberFormat="1" applyFont="1"/>
    <xf numFmtId="168" fontId="0" fillId="33" borderId="10" xfId="42" applyNumberFormat="1" applyFont="1" applyFill="1" applyBorder="1"/>
    <xf numFmtId="44" fontId="19" fillId="0" borderId="0" xfId="42" applyFont="1" applyFill="1" applyAlignment="1"/>
    <xf numFmtId="164" fontId="19" fillId="34" borderId="0" xfId="18" applyNumberFormat="1" applyFont="1" applyFill="1" applyAlignment="1">
      <alignment horizontal="center"/>
    </xf>
    <xf numFmtId="167" fontId="0" fillId="33" borderId="10" xfId="42" applyNumberFormat="1" applyFont="1" applyFill="1" applyBorder="1"/>
    <xf numFmtId="168" fontId="0" fillId="0" borderId="10" xfId="42" applyNumberFormat="1" applyFont="1" applyBorder="1"/>
    <xf numFmtId="164" fontId="21" fillId="20" borderId="19" xfId="29" applyNumberFormat="1" applyFont="1" applyBorder="1" applyAlignment="1">
      <alignment vertical="center"/>
    </xf>
    <xf numFmtId="9" fontId="0" fillId="0" borderId="0" xfId="43" applyFont="1"/>
    <xf numFmtId="9" fontId="18" fillId="0" borderId="0" xfId="43" applyFont="1"/>
    <xf numFmtId="0" fontId="24" fillId="0" borderId="0" xfId="0" applyFont="1"/>
    <xf numFmtId="0" fontId="22" fillId="20" borderId="19" xfId="29" applyFont="1" applyBorder="1" applyAlignment="1">
      <alignment horizontal="center" vertical="center"/>
    </xf>
    <xf numFmtId="0" fontId="23" fillId="20" borderId="19" xfId="29" applyFont="1" applyBorder="1" applyAlignment="1">
      <alignment horizontal="right" vertical="center"/>
    </xf>
    <xf numFmtId="0" fontId="22" fillId="20" borderId="23" xfId="29" applyFont="1" applyBorder="1" applyAlignment="1">
      <alignment horizontal="center" vertical="center"/>
    </xf>
    <xf numFmtId="0" fontId="22" fillId="20" borderId="0" xfId="29" applyFont="1" applyBorder="1" applyAlignment="1">
      <alignment horizontal="center" vertical="center"/>
    </xf>
    <xf numFmtId="0" fontId="21" fillId="20" borderId="19" xfId="29" applyFont="1" applyBorder="1" applyAlignment="1">
      <alignment horizontal="left" vertical="center"/>
    </xf>
    <xf numFmtId="168" fontId="25" fillId="0" borderId="10" xfId="42" applyNumberFormat="1" applyFont="1" applyBorder="1"/>
    <xf numFmtId="165" fontId="25" fillId="33" borderId="14" xfId="42" applyNumberFormat="1" applyFont="1" applyFill="1" applyBorder="1"/>
    <xf numFmtId="2" fontId="18" fillId="0" borderId="0" xfId="0" applyNumberFormat="1" applyFont="1"/>
    <xf numFmtId="164" fontId="19" fillId="34" borderId="0" xfId="18" applyNumberFormat="1" applyFont="1" applyFill="1" applyAlignment="1">
      <alignment horizontal="center"/>
    </xf>
    <xf numFmtId="2" fontId="19" fillId="0" borderId="0" xfId="18" applyNumberFormat="1" applyFont="1" applyFill="1" applyAlignment="1"/>
    <xf numFmtId="165" fontId="0" fillId="0" borderId="0" xfId="0" applyNumberFormat="1"/>
    <xf numFmtId="0" fontId="24" fillId="0" borderId="0" xfId="0" applyNumberFormat="1" applyFont="1"/>
    <xf numFmtId="0" fontId="21" fillId="20" borderId="0" xfId="29" applyFont="1" applyBorder="1" applyAlignment="1">
      <alignment horizontal="right" vertical="center"/>
    </xf>
    <xf numFmtId="2" fontId="16" fillId="35" borderId="10" xfId="0" applyNumberFormat="1" applyFont="1" applyFill="1" applyBorder="1"/>
    <xf numFmtId="164" fontId="19" fillId="34" borderId="0" xfId="18" applyNumberFormat="1" applyFont="1" applyFill="1" applyAlignment="1">
      <alignment horizontal="center"/>
    </xf>
    <xf numFmtId="0" fontId="21" fillId="20" borderId="0" xfId="29" applyFont="1" applyBorder="1" applyAlignment="1">
      <alignment horizontal="center" vertical="center"/>
    </xf>
    <xf numFmtId="0" fontId="20" fillId="0" borderId="0" xfId="29" applyFont="1" applyFill="1" applyBorder="1" applyAlignment="1">
      <alignment horizontal="center" vertical="center"/>
    </xf>
    <xf numFmtId="0" fontId="22" fillId="20" borderId="20" xfId="29" applyFont="1" applyBorder="1" applyAlignment="1">
      <alignment horizontal="center" vertical="center"/>
    </xf>
    <xf numFmtId="0" fontId="22" fillId="20" borderId="22" xfId="29" applyFont="1" applyBorder="1" applyAlignment="1">
      <alignment horizontal="center" vertical="center"/>
    </xf>
    <xf numFmtId="0" fontId="22" fillId="20" borderId="21" xfId="29" applyFont="1" applyBorder="1" applyAlignment="1">
      <alignment horizontal="center" vertical="center"/>
    </xf>
    <xf numFmtId="0" fontId="22" fillId="20" borderId="0" xfId="29" applyFont="1" applyBorder="1" applyAlignment="1">
      <alignment horizontal="center"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te" xfId="15" builtinId="10" customBuiltin="1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167" formatCode="0.0;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2" formatCode="0.00"/>
    </dxf>
    <dxf>
      <numFmt numFmtId="19" formatCode="dd/mm/yyyy"/>
    </dxf>
    <dxf>
      <border outline="0">
        <bottom style="thin">
          <color rgb="FFB2B2B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83242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167" formatCode="0.0;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2" formatCode="0.00"/>
    </dxf>
    <dxf>
      <numFmt numFmtId="19" formatCode="dd/mm/yyyy"/>
    </dxf>
    <dxf>
      <border outline="0">
        <bottom style="thin">
          <color rgb="FFB2B2B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83242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167" formatCode="0.0;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2" formatCode="0.00"/>
    </dxf>
    <dxf>
      <numFmt numFmtId="19" formatCode="dd/mm/yyyy"/>
    </dxf>
    <dxf>
      <border outline="0">
        <bottom style="thin">
          <color rgb="FFB2B2B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83242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numFmt numFmtId="2" formatCode="0.00"/>
    </dxf>
    <dxf>
      <numFmt numFmtId="2" formatCode="0.00"/>
    </dxf>
    <dxf>
      <numFmt numFmtId="19" formatCode="dd/mm/yyyy"/>
    </dxf>
    <dxf>
      <border outline="0">
        <bottom style="thin">
          <color rgb="FFB2B2B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83242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numFmt numFmtId="2" formatCode="0.00"/>
    </dxf>
    <dxf>
      <numFmt numFmtId="19" formatCode="dd/mm/yyyy"/>
    </dxf>
    <dxf>
      <border outline="0">
        <bottom style="thin">
          <color rgb="FFB2B2B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83242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83242"/>
      <color rgb="FF2D1F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gains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'20 JUIN 2016'!$N$4:$N$23</c:f>
              <c:numCache>
                <c:formatCode>_-* #\ ##0.00\ "€"_-;\(#\ ##0.00\ "€"\);_-* "-"??\ "€"_-;_-@_-</c:formatCode>
                <c:ptCount val="20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64-47D7-9FF2-5C54878CAD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1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points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'20 JUIN 2016'!$M$4:$M$23</c:f>
              <c:numCache>
                <c:formatCode>0.00</c:formatCode>
                <c:ptCount val="20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77-412D-9A8B-2972104D2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5"/>
        <c:noMultiLvlLbl val="0"/>
      </c:catAx>
      <c:valAx>
        <c:axId val="411139464"/>
        <c:scaling>
          <c:orientation val="minMax"/>
        </c:scaling>
        <c:delete val="0"/>
        <c:axPos val="l"/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Trades gagnants/perdants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Trades gagant/perdants</c:v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24E-4087-859E-EF9129119AE1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F24E-4087-859E-EF9129119A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8AD-4D59-9ABA-E4B1E19CEF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 JUIN 2016'!$B$13:$D$13</c:f>
              <c:strCache>
                <c:ptCount val="3"/>
                <c:pt idx="0">
                  <c:v>Gagn.</c:v>
                </c:pt>
                <c:pt idx="1">
                  <c:v>Perd.</c:v>
                </c:pt>
                <c:pt idx="2">
                  <c:v>Flat</c:v>
                </c:pt>
              </c:strCache>
            </c:strRef>
          </c:cat>
          <c:val>
            <c:numRef>
              <c:f>'20 JUIN 2016'!$B$15:$D$15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4E-4087-859E-EF9129119AE1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gains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'21 JUIN 2016'!$F$4:$F$31</c:f>
              <c:numCache>
                <c:formatCode>0</c:formatCode>
                <c:ptCount val="28"/>
              </c:numCache>
            </c:numRef>
          </c:cat>
          <c:val>
            <c:numRef>
              <c:f>'21 JUIN 2016'!$N$4:$N$31</c:f>
              <c:numCache>
                <c:formatCode>_-* #\ ##0.00\ "€"_-;\(#\ ##0.00\ "€"\);_-* "-"??\ "€"_-;_-@_-</c:formatCode>
                <c:ptCount val="28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3C-4649-9965-14291E45D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1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points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'21 JUIN 2016'!$F$4:$F$31</c:f>
              <c:numCache>
                <c:formatCode>0</c:formatCode>
                <c:ptCount val="28"/>
              </c:numCache>
            </c:numRef>
          </c:cat>
          <c:val>
            <c:numRef>
              <c:f>'21 JUIN 2016'!$M$4:$M$31</c:f>
              <c:numCache>
                <c:formatCode>0.00</c:formatCode>
                <c:ptCount val="28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EA-4B20-8AF0-DC4C8A4D3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1">
                  <a:alpha val="36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5"/>
        <c:noMultiLvlLbl val="0"/>
      </c:catAx>
      <c:valAx>
        <c:axId val="411139464"/>
        <c:scaling>
          <c:orientation val="minMax"/>
        </c:scaling>
        <c:delete val="0"/>
        <c:axPos val="l"/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Trades gagnants/perdants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Trades gagant/perdants</c:v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7A8-46B7-9944-A7474B3CC033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7A8-46B7-9944-A7474B3CC0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7A8-46B7-9944-A7474B3CC0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 JUIN 2016'!$B$13:$D$13</c:f>
              <c:strCache>
                <c:ptCount val="3"/>
                <c:pt idx="0">
                  <c:v>Gagn.</c:v>
                </c:pt>
                <c:pt idx="1">
                  <c:v>Perd.</c:v>
                </c:pt>
                <c:pt idx="2">
                  <c:v>Flat</c:v>
                </c:pt>
              </c:strCache>
            </c:strRef>
          </c:cat>
          <c:val>
            <c:numRef>
              <c:f>'21 JUIN 2016'!$B$15:$D$15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7A8-46B7-9944-A7474B3CC03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gains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'22 JUIN 2016'!$F$4:$F$36</c:f>
              <c:numCache>
                <c:formatCode>0</c:formatCode>
                <c:ptCount val="33"/>
              </c:numCache>
            </c:numRef>
          </c:cat>
          <c:val>
            <c:numRef>
              <c:f>'22 JUIN 2016'!$N$4:$N$36</c:f>
              <c:numCache>
                <c:formatCode>_-* #\ ##0.00\ "€"_-;\(#\ ##0.00\ "€"\);_-* "-"??\ "€"_-;_-@_-</c:formatCode>
                <c:ptCount val="33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E1-42AC-B7C6-EFA91383B3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1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points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'22 JUIN 2016'!$F$4:$F$36</c:f>
              <c:numCache>
                <c:formatCode>0</c:formatCode>
                <c:ptCount val="33"/>
              </c:numCache>
            </c:numRef>
          </c:cat>
          <c:val>
            <c:numRef>
              <c:f>'22 JUIN 2016'!$M$4:$M$36</c:f>
              <c:numCache>
                <c:formatCode>0.00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4D-40E7-9C25-04A4FB1EA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1">
                  <a:alpha val="36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5"/>
        <c:noMultiLvlLbl val="0"/>
      </c:catAx>
      <c:valAx>
        <c:axId val="411139464"/>
        <c:scaling>
          <c:orientation val="minMax"/>
        </c:scaling>
        <c:delete val="0"/>
        <c:axPos val="l"/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Trades gagnants/perdants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Trades gagant/perdants</c:v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42D-4819-B9BB-9CC4F4F77D83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42D-4819-B9BB-9CC4F4F77D8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42D-4819-B9BB-9CC4F4F77D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 JUIN 2016'!$B$13:$D$13</c:f>
              <c:strCache>
                <c:ptCount val="3"/>
                <c:pt idx="0">
                  <c:v>Gagn.</c:v>
                </c:pt>
                <c:pt idx="1">
                  <c:v>Perd.</c:v>
                </c:pt>
                <c:pt idx="2">
                  <c:v>Flat</c:v>
                </c:pt>
              </c:strCache>
            </c:strRef>
          </c:cat>
          <c:val>
            <c:numRef>
              <c:f>'22 JUIN 2016'!$B$15:$D$15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42D-4819-B9BB-9CC4F4F77D8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gains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'23 JUIN 2016'!$F$4:$F$33</c:f>
              <c:numCache>
                <c:formatCode>0</c:formatCode>
                <c:ptCount val="30"/>
              </c:numCache>
            </c:numRef>
          </c:cat>
          <c:val>
            <c:numRef>
              <c:f>'23 JUIN 2016'!$N$4:$N$33</c:f>
              <c:numCache>
                <c:formatCode>_-* #\ ##0.00\ "€"_-;\(#\ ##0.00\ "€"\);_-* "-"??\ "€"_-;_-@_-</c:formatCode>
                <c:ptCount val="30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6D-4347-9C92-20E3D2B77A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1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points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'23 JUIN 2016'!$F$4:$F$33</c:f>
              <c:numCache>
                <c:formatCode>0</c:formatCode>
                <c:ptCount val="30"/>
              </c:numCache>
            </c:numRef>
          </c:cat>
          <c:val>
            <c:numRef>
              <c:f>'23 JUIN 2016'!$M$4:$M$33</c:f>
              <c:numCache>
                <c:formatCode>0.00</c:formatCode>
                <c:ptCount val="30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18-4CE2-89A8-1D7FC4685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1">
                  <a:alpha val="36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5"/>
        <c:noMultiLvlLbl val="0"/>
      </c:catAx>
      <c:valAx>
        <c:axId val="411139464"/>
        <c:scaling>
          <c:orientation val="minMax"/>
        </c:scaling>
        <c:delete val="0"/>
        <c:axPos val="l"/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Trades gagnants/perdants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Trades gagant/perdants</c:v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404-431E-922C-8309B8B96373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404-431E-922C-8309B8B963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404-431E-922C-8309B8B963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 JUIN 2016'!$B$13:$D$13</c:f>
              <c:strCache>
                <c:ptCount val="3"/>
                <c:pt idx="0">
                  <c:v>Gagn.</c:v>
                </c:pt>
                <c:pt idx="1">
                  <c:v>Perd.</c:v>
                </c:pt>
                <c:pt idx="2">
                  <c:v>Flat</c:v>
                </c:pt>
              </c:strCache>
            </c:strRef>
          </c:cat>
          <c:val>
            <c:numRef>
              <c:f>'23 JUIN 2016'!$B$15:$D$15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404-431E-922C-8309B8B9637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gains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'24 JUIN 2016'!$F$4:$F$35</c:f>
              <c:numCache>
                <c:formatCode>0</c:formatCode>
                <c:ptCount val="32"/>
              </c:numCache>
            </c:numRef>
          </c:cat>
          <c:val>
            <c:numRef>
              <c:f>'24 JUIN 2016'!$N$4:$N$35</c:f>
              <c:numCache>
                <c:formatCode>_-* #\ ##0.00\ "€"_-;\(#\ ##0.00\ "€"\);_-* "-"??\ "€"_-;_-@_-</c:formatCode>
                <c:ptCount val="32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96-4DB4-914D-0A2058CF1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1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points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'24 JUIN 2016'!$F$4:$F$35</c:f>
              <c:numCache>
                <c:formatCode>0</c:formatCode>
                <c:ptCount val="32"/>
              </c:numCache>
            </c:numRef>
          </c:cat>
          <c:val>
            <c:numRef>
              <c:f>'24 JUIN 2016'!$M$4:$M$35</c:f>
              <c:numCache>
                <c:formatCode>0.00</c:formatCode>
                <c:ptCount val="32"/>
                <c:pt idx="0" formatCode="[$-F800]dddd\,\ mmmm\ dd\,\ yyyy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11-4E68-941D-28B58D437F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1">
                  <a:alpha val="36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5"/>
        <c:noMultiLvlLbl val="0"/>
      </c:catAx>
      <c:valAx>
        <c:axId val="411139464"/>
        <c:scaling>
          <c:orientation val="minMax"/>
        </c:scaling>
        <c:delete val="0"/>
        <c:axPos val="l"/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Trades gagnants/perdants</a:t>
            </a:r>
          </a:p>
        </c:rich>
      </c:tx>
      <c:layout>
        <c:manualLayout>
          <c:xMode val="edge"/>
          <c:yMode val="edge"/>
          <c:x val="0.1242668602594888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Trades gagant/perdants</c:v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5FA-4C53-BC56-8B8AD44AC74B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5FA-4C53-BC56-8B8AD44AC74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FA-4C53-BC56-8B8AD44AC7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 JUIN 2016'!$B$13:$D$13</c:f>
              <c:strCache>
                <c:ptCount val="3"/>
                <c:pt idx="0">
                  <c:v>Gagn.</c:v>
                </c:pt>
                <c:pt idx="1">
                  <c:v>Perd.</c:v>
                </c:pt>
                <c:pt idx="2">
                  <c:v>Flat</c:v>
                </c:pt>
              </c:strCache>
            </c:strRef>
          </c:cat>
          <c:val>
            <c:numRef>
              <c:f>'24 JUIN 2016'!$B$15:$D$15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5FA-4C53-BC56-8B8AD44AC74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gains</a:t>
            </a:r>
          </a:p>
        </c:rich>
      </c:tx>
      <c:layout>
        <c:manualLayout>
          <c:xMode val="edge"/>
          <c:yMode val="edge"/>
          <c:x val="0.27430952792861168"/>
          <c:y val="4.01433963661420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'Récap. Sem.'!$D$7:$H$7</c:f>
              <c:numCache>
                <c:formatCode>_-* #\ ##0.00\ "€"_-;\(#\ ##0.00\ "€"\);_-* "-"??\ "€"_-;_-@_-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D4-4728-9E57-C92495F36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1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points</a:t>
            </a:r>
          </a:p>
        </c:rich>
      </c:tx>
      <c:layout>
        <c:manualLayout>
          <c:xMode val="edge"/>
          <c:yMode val="edge"/>
          <c:x val="0.22443045548725912"/>
          <c:y val="3.38981056648138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'Récap. Sem.'!$D$5:$H$5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03-4830-93F3-03E0EE98B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1170864"/>
        <c:axId val="411139464"/>
      </c:lineChart>
      <c:catAx>
        <c:axId val="4111708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tickLblSkip val="5"/>
        <c:noMultiLvlLbl val="0"/>
      </c:catAx>
      <c:valAx>
        <c:axId val="411139464"/>
        <c:scaling>
          <c:orientation val="minMax"/>
        </c:scaling>
        <c:delete val="0"/>
        <c:axPos val="l"/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Trades gagnants/perdants</a:t>
            </a:r>
          </a:p>
        </c:rich>
      </c:tx>
      <c:layout>
        <c:manualLayout>
          <c:xMode val="edge"/>
          <c:yMode val="edge"/>
          <c:x val="0.12485986454490391"/>
          <c:y val="4.02298850574712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'Récap. Sem.'!$B$4</c:f>
              <c:strCache>
                <c:ptCount val="1"/>
                <c:pt idx="0">
                  <c:v>Résultat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478-4DDE-9EA9-34041A0EDE87}"/>
              </c:ext>
            </c:extLst>
          </c:dPt>
          <c:dPt>
            <c:idx val="1"/>
            <c:bubble3D val="0"/>
            <c:spPr>
              <a:solidFill>
                <a:srgbClr val="C0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478-4DDE-9EA9-34041A0EDE8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478-4DDE-9EA9-34041A0EDE8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 JUIN 2016'!$B$13:$D$13</c:f>
              <c:strCache>
                <c:ptCount val="3"/>
                <c:pt idx="0">
                  <c:v>Gagn.</c:v>
                </c:pt>
                <c:pt idx="1">
                  <c:v>Perd.</c:v>
                </c:pt>
                <c:pt idx="2">
                  <c:v>Flat</c:v>
                </c:pt>
              </c:strCache>
            </c:strRef>
          </c:cat>
          <c:val>
            <c:numRef>
              <c:f>('Récap. Sem.'!$I$10,'Récap. Sem.'!$I$15,'Récap. Sem.'!$I$20)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78-4DDE-9EA9-34041A0EDE87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Max Downs</a:t>
            </a:r>
          </a:p>
        </c:rich>
      </c:tx>
      <c:layout>
        <c:manualLayout>
          <c:xMode val="edge"/>
          <c:yMode val="edge"/>
          <c:x val="0.35349615843474114"/>
          <c:y val="3.45916122186854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'Récap. Sem.'!$D$6:$H$6</c:f>
              <c:numCache>
                <c:formatCode>_-* #\ ##0.00\ "€"_-;\(#\ ##0.00\ "€"\);_-* "-"??\ "€"_-;_-@_-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6A-4B44-A15F-FD41DB4B9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1170864"/>
        <c:axId val="411139464"/>
      </c:bar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Max Pts / </a:t>
            </a:r>
            <a:r>
              <a:rPr lang="fr-FR">
                <a:solidFill>
                  <a:srgbClr val="00B050"/>
                </a:solidFill>
              </a:rPr>
              <a:t>Résultat</a:t>
            </a:r>
          </a:p>
        </c:rich>
      </c:tx>
      <c:layout>
        <c:manualLayout>
          <c:xMode val="edge"/>
          <c:yMode val="edge"/>
          <c:x val="0.23713252207110475"/>
          <c:y val="5.16128888144301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Gagnants</c:v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'Récap. Sem.'!$D$12:$H$12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8F-4BAC-9FC8-3803AA42707C}"/>
            </c:ext>
          </c:extLst>
        </c:ser>
        <c:ser>
          <c:idx val="1"/>
          <c:order val="1"/>
          <c:tx>
            <c:v>Perdants</c:v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val>
            <c:numRef>
              <c:f>'Récap. Sem.'!$D$17:$H$17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8F-4BAC-9FC8-3803AA427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170864"/>
        <c:axId val="411139464"/>
      </c:barChart>
      <c:lineChart>
        <c:grouping val="standard"/>
        <c:varyColors val="0"/>
        <c:ser>
          <c:idx val="2"/>
          <c:order val="2"/>
          <c:tx>
            <c:v>Gains</c:v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'Récap. Sem.'!$D$5:$H$5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8F-4BAC-9FC8-3803AA427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762264"/>
        <c:axId val="444469976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noMultiLvlLbl val="0"/>
      </c:catAx>
      <c:valAx>
        <c:axId val="411139464"/>
        <c:scaling>
          <c:orientation val="minMax"/>
        </c:scaling>
        <c:delete val="0"/>
        <c:axPos val="l"/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valAx>
        <c:axId val="444469976"/>
        <c:scaling>
          <c:orientation val="minMax"/>
        </c:scaling>
        <c:delete val="0"/>
        <c:axPos val="r"/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762264"/>
        <c:crosses val="max"/>
        <c:crossBetween val="between"/>
      </c:valAx>
      <c:catAx>
        <c:axId val="571762264"/>
        <c:scaling>
          <c:orientation val="minMax"/>
        </c:scaling>
        <c:delete val="1"/>
        <c:axPos val="b"/>
        <c:majorTickMark val="out"/>
        <c:minorTickMark val="none"/>
        <c:tickLblPos val="nextTo"/>
        <c:crossAx val="444469976"/>
        <c:crosses val="autoZero"/>
        <c:auto val="1"/>
        <c:lblAlgn val="ctr"/>
        <c:lblOffset val="100"/>
        <c:noMultiLvlLbl val="0"/>
      </c:cat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% Gagnants / </a:t>
            </a:r>
            <a:r>
              <a:rPr lang="fr-FR">
                <a:solidFill>
                  <a:srgbClr val="00B050"/>
                </a:solidFill>
              </a:rPr>
              <a:t>Nb. Trades</a:t>
            </a:r>
          </a:p>
        </c:rich>
      </c:tx>
      <c:layout>
        <c:manualLayout>
          <c:xMode val="edge"/>
          <c:yMode val="edge"/>
          <c:x val="0.15470827964686232"/>
          <c:y val="5.16128888144301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% Gagnants</c:v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val>
            <c:numRef>
              <c:f>'Récap. Sem.'!$D$10:$H$10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9C-4C4F-AF0B-2A7F3F1F9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170864"/>
        <c:axId val="411139464"/>
      </c:barChart>
      <c:lineChart>
        <c:grouping val="standard"/>
        <c:varyColors val="0"/>
        <c:ser>
          <c:idx val="2"/>
          <c:order val="1"/>
          <c:tx>
            <c:v>Nb. Trades</c:v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'Récap. Sem.'!$D$3:$H$3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9C-4C4F-AF0B-2A7F3F1F9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762264"/>
        <c:axId val="444469976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noMultiLvlLbl val="0"/>
      </c:catAx>
      <c:valAx>
        <c:axId val="411139464"/>
        <c:scaling>
          <c:orientation val="minMax"/>
          <c:min val="0.5"/>
        </c:scaling>
        <c:delete val="0"/>
        <c:axPos val="l"/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valAx>
        <c:axId val="4444699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solidFill>
              <a:srgbClr val="00B050">
                <a:alpha val="99000"/>
              </a:srgb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762264"/>
        <c:crosses val="max"/>
        <c:crossBetween val="between"/>
      </c:valAx>
      <c:catAx>
        <c:axId val="571762264"/>
        <c:scaling>
          <c:orientation val="minMax"/>
        </c:scaling>
        <c:delete val="1"/>
        <c:axPos val="b"/>
        <c:majorTickMark val="out"/>
        <c:minorTickMark val="none"/>
        <c:tickLblPos val="nextTo"/>
        <c:crossAx val="444469976"/>
        <c:crosses val="autoZero"/>
        <c:auto val="1"/>
        <c:lblAlgn val="ctr"/>
        <c:lblOffset val="100"/>
        <c:noMultiLvlLbl val="0"/>
      </c:cat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Résultat / </a:t>
            </a:r>
            <a:r>
              <a:rPr lang="fr-FR">
                <a:solidFill>
                  <a:srgbClr val="00B050"/>
                </a:solidFill>
              </a:rPr>
              <a:t>Nb.</a:t>
            </a:r>
            <a:r>
              <a:rPr lang="fr-FR" baseline="0">
                <a:solidFill>
                  <a:srgbClr val="00B050"/>
                </a:solidFill>
              </a:rPr>
              <a:t> Trades</a:t>
            </a:r>
            <a:endParaRPr lang="fr-FR">
              <a:solidFill>
                <a:srgbClr val="00B050"/>
              </a:solidFill>
            </a:endParaRPr>
          </a:p>
        </c:rich>
      </c:tx>
      <c:layout>
        <c:manualLayout>
          <c:xMode val="edge"/>
          <c:yMode val="edge"/>
          <c:x val="0.23228403722261995"/>
          <c:y val="4.5939129949181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Résultat</c:v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val>
            <c:numRef>
              <c:f>'Récap. Sem.'!$D$5:$H$5</c:f>
              <c:numCache>
                <c:formatCode>0.0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5C-40D6-A263-0F038326B5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170864"/>
        <c:axId val="411139464"/>
      </c:barChart>
      <c:lineChart>
        <c:grouping val="standard"/>
        <c:varyColors val="0"/>
        <c:ser>
          <c:idx val="2"/>
          <c:order val="1"/>
          <c:tx>
            <c:v>Nb. Trades</c:v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'Récap. Sem.'!$D$3:$H$3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5C-40D6-A263-0F038326B5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762264"/>
        <c:axId val="444469976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noMultiLvlLbl val="0"/>
      </c:catAx>
      <c:valAx>
        <c:axId val="411139464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valAx>
        <c:axId val="4444699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solidFill>
              <a:srgbClr val="00B050">
                <a:alpha val="99000"/>
              </a:srgb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762264"/>
        <c:crosses val="max"/>
        <c:crossBetween val="between"/>
      </c:valAx>
      <c:catAx>
        <c:axId val="571762264"/>
        <c:scaling>
          <c:orientation val="minMax"/>
        </c:scaling>
        <c:delete val="1"/>
        <c:axPos val="b"/>
        <c:majorTickMark val="out"/>
        <c:minorTickMark val="none"/>
        <c:tickLblPos val="nextTo"/>
        <c:crossAx val="444469976"/>
        <c:crosses val="autoZero"/>
        <c:auto val="1"/>
        <c:lblAlgn val="ctr"/>
        <c:lblOffset val="100"/>
        <c:noMultiLvlLbl val="0"/>
      </c:cat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Séries /</a:t>
            </a:r>
            <a:r>
              <a:rPr lang="fr-FR" baseline="0"/>
              <a:t> </a:t>
            </a:r>
            <a:r>
              <a:rPr lang="fr-FR" baseline="0">
                <a:solidFill>
                  <a:srgbClr val="00B050"/>
                </a:solidFill>
              </a:rPr>
              <a:t>Nb. Trades</a:t>
            </a:r>
            <a:endParaRPr lang="fr-FR">
              <a:solidFill>
                <a:srgbClr val="00B050"/>
              </a:solidFill>
            </a:endParaRPr>
          </a:p>
        </c:rich>
      </c:tx>
      <c:layout>
        <c:manualLayout>
          <c:xMode val="edge"/>
          <c:yMode val="edge"/>
          <c:x val="0.23713252207110475"/>
          <c:y val="5.16128888144301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Gagnants</c:v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cat>
            <c:numRef>
              <c:f>'20 JUIN 2016'!$F$4:$F$23</c:f>
              <c:numCache>
                <c:formatCode>0</c:formatCode>
                <c:ptCount val="20"/>
              </c:numCache>
            </c:numRef>
          </c:cat>
          <c:val>
            <c:numRef>
              <c:f>'Récap. Sem.'!$D$11:$H$11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90-4273-AA85-465E242585D9}"/>
            </c:ext>
          </c:extLst>
        </c:ser>
        <c:ser>
          <c:idx val="1"/>
          <c:order val="1"/>
          <c:tx>
            <c:v>Perdants</c:v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noFill/>
              <a:round/>
            </a:ln>
            <a:effectLst/>
          </c:spPr>
          <c:invertIfNegative val="0"/>
          <c:val>
            <c:numRef>
              <c:f>'Récap. Sem.'!$D$16:$H$16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90-4273-AA85-465E242585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170864"/>
        <c:axId val="411139464"/>
      </c:barChart>
      <c:lineChart>
        <c:grouping val="standard"/>
        <c:varyColors val="0"/>
        <c:ser>
          <c:idx val="2"/>
          <c:order val="2"/>
          <c:tx>
            <c:v>Gains</c:v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'Récap. Sem.'!$D$3:$H$3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0-4273-AA85-465E242585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762264"/>
        <c:axId val="444469976"/>
      </c:lineChart>
      <c:catAx>
        <c:axId val="411170864"/>
        <c:scaling>
          <c:orientation val="minMax"/>
        </c:scaling>
        <c:delete val="0"/>
        <c:axPos val="b"/>
        <c:numFmt formatCode="[$-F800]dddd\,\ mmmm\ dd\,\ yyyy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39464"/>
        <c:crosses val="autoZero"/>
        <c:auto val="1"/>
        <c:lblAlgn val="ctr"/>
        <c:lblOffset val="100"/>
        <c:noMultiLvlLbl val="0"/>
      </c:catAx>
      <c:valAx>
        <c:axId val="411139464"/>
        <c:scaling>
          <c:orientation val="minMax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170864"/>
        <c:crosses val="autoZero"/>
        <c:crossBetween val="between"/>
      </c:valAx>
      <c:valAx>
        <c:axId val="4444699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762264"/>
        <c:crosses val="max"/>
        <c:crossBetween val="between"/>
      </c:valAx>
      <c:catAx>
        <c:axId val="571762264"/>
        <c:scaling>
          <c:orientation val="minMax"/>
        </c:scaling>
        <c:delete val="1"/>
        <c:axPos val="b"/>
        <c:majorTickMark val="out"/>
        <c:minorTickMark val="none"/>
        <c:tickLblPos val="nextTo"/>
        <c:crossAx val="444469976"/>
        <c:crosses val="autoZero"/>
        <c:auto val="1"/>
        <c:lblAlgn val="ctr"/>
        <c:lblOffset val="100"/>
        <c:noMultiLvlLbl val="0"/>
      </c:cat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chart" Target="../charts/chart21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15</xdr:row>
      <xdr:rowOff>52388</xdr:rowOff>
    </xdr:from>
    <xdr:to>
      <xdr:col>18</xdr:col>
      <xdr:colOff>466725</xdr:colOff>
      <xdr:row>28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9525</xdr:colOff>
      <xdr:row>28</xdr:row>
      <xdr:rowOff>171450</xdr:rowOff>
    </xdr:from>
    <xdr:to>
      <xdr:col>18</xdr:col>
      <xdr:colOff>466725</xdr:colOff>
      <xdr:row>41</xdr:row>
      <xdr:rowOff>161925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28575</xdr:colOff>
      <xdr:row>4</xdr:row>
      <xdr:rowOff>9525</xdr:rowOff>
    </xdr:from>
    <xdr:to>
      <xdr:col>18</xdr:col>
      <xdr:colOff>485775</xdr:colOff>
      <xdr:row>15</xdr:row>
      <xdr:rowOff>85725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15</xdr:row>
      <xdr:rowOff>61913</xdr:rowOff>
    </xdr:from>
    <xdr:to>
      <xdr:col>18</xdr:col>
      <xdr:colOff>438150</xdr:colOff>
      <xdr:row>27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9525</xdr:colOff>
      <xdr:row>27</xdr:row>
      <xdr:rowOff>171450</xdr:rowOff>
    </xdr:from>
    <xdr:to>
      <xdr:col>18</xdr:col>
      <xdr:colOff>447674</xdr:colOff>
      <xdr:row>40</xdr:row>
      <xdr:rowOff>180975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57150</xdr:colOff>
      <xdr:row>3</xdr:row>
      <xdr:rowOff>0</xdr:rowOff>
    </xdr:from>
    <xdr:to>
      <xdr:col>18</xdr:col>
      <xdr:colOff>476250</xdr:colOff>
      <xdr:row>15</xdr:row>
      <xdr:rowOff>57150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15</xdr:row>
      <xdr:rowOff>61913</xdr:rowOff>
    </xdr:from>
    <xdr:to>
      <xdr:col>18</xdr:col>
      <xdr:colOff>466725</xdr:colOff>
      <xdr:row>27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27</xdr:row>
      <xdr:rowOff>171450</xdr:rowOff>
    </xdr:from>
    <xdr:to>
      <xdr:col>18</xdr:col>
      <xdr:colOff>476249</xdr:colOff>
      <xdr:row>40</xdr:row>
      <xdr:rowOff>180975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28575</xdr:colOff>
      <xdr:row>4</xdr:row>
      <xdr:rowOff>19050</xdr:rowOff>
    </xdr:from>
    <xdr:to>
      <xdr:col>18</xdr:col>
      <xdr:colOff>447675</xdr:colOff>
      <xdr:row>15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15</xdr:row>
      <xdr:rowOff>61913</xdr:rowOff>
    </xdr:from>
    <xdr:to>
      <xdr:col>18</xdr:col>
      <xdr:colOff>466725</xdr:colOff>
      <xdr:row>27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27</xdr:row>
      <xdr:rowOff>171450</xdr:rowOff>
    </xdr:from>
    <xdr:to>
      <xdr:col>18</xdr:col>
      <xdr:colOff>476249</xdr:colOff>
      <xdr:row>40</xdr:row>
      <xdr:rowOff>180975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28575</xdr:colOff>
      <xdr:row>4</xdr:row>
      <xdr:rowOff>19050</xdr:rowOff>
    </xdr:from>
    <xdr:to>
      <xdr:col>18</xdr:col>
      <xdr:colOff>447675</xdr:colOff>
      <xdr:row>15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15</xdr:row>
      <xdr:rowOff>61913</xdr:rowOff>
    </xdr:from>
    <xdr:to>
      <xdr:col>18</xdr:col>
      <xdr:colOff>466725</xdr:colOff>
      <xdr:row>27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38100</xdr:colOff>
      <xdr:row>27</xdr:row>
      <xdr:rowOff>171450</xdr:rowOff>
    </xdr:from>
    <xdr:to>
      <xdr:col>18</xdr:col>
      <xdr:colOff>476249</xdr:colOff>
      <xdr:row>40</xdr:row>
      <xdr:rowOff>180975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38100</xdr:colOff>
      <xdr:row>2</xdr:row>
      <xdr:rowOff>152400</xdr:rowOff>
    </xdr:from>
    <xdr:to>
      <xdr:col>18</xdr:col>
      <xdr:colOff>457200</xdr:colOff>
      <xdr:row>15</xdr:row>
      <xdr:rowOff>19050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104777</xdr:colOff>
      <xdr:row>0</xdr:row>
      <xdr:rowOff>4764</xdr:rowOff>
    </xdr:from>
    <xdr:to>
      <xdr:col>6</xdr:col>
      <xdr:colOff>685801</xdr:colOff>
      <xdr:row>11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676277</xdr:colOff>
      <xdr:row>0</xdr:row>
      <xdr:rowOff>0</xdr:rowOff>
    </xdr:from>
    <xdr:to>
      <xdr:col>10</xdr:col>
      <xdr:colOff>257176</xdr:colOff>
      <xdr:row>11</xdr:row>
      <xdr:rowOff>114299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</xdr:col>
      <xdr:colOff>104775</xdr:colOff>
      <xdr:row>11</xdr:row>
      <xdr:rowOff>114300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266701</xdr:colOff>
      <xdr:row>0</xdr:row>
      <xdr:rowOff>0</xdr:rowOff>
    </xdr:from>
    <xdr:to>
      <xdr:col>13</xdr:col>
      <xdr:colOff>600076</xdr:colOff>
      <xdr:row>11</xdr:row>
      <xdr:rowOff>142875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</xdr:colOff>
      <xdr:row>11</xdr:row>
      <xdr:rowOff>152400</xdr:rowOff>
    </xdr:from>
    <xdr:to>
      <xdr:col>3</xdr:col>
      <xdr:colOff>333376</xdr:colOff>
      <xdr:row>23</xdr:row>
      <xdr:rowOff>104775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342901</xdr:colOff>
      <xdr:row>11</xdr:row>
      <xdr:rowOff>142875</xdr:rowOff>
    </xdr:from>
    <xdr:to>
      <xdr:col>13</xdr:col>
      <xdr:colOff>676276</xdr:colOff>
      <xdr:row>23</xdr:row>
      <xdr:rowOff>95250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742951</xdr:colOff>
      <xdr:row>11</xdr:row>
      <xdr:rowOff>142875</xdr:rowOff>
    </xdr:from>
    <xdr:to>
      <xdr:col>10</xdr:col>
      <xdr:colOff>314326</xdr:colOff>
      <xdr:row>23</xdr:row>
      <xdr:rowOff>95250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352425</xdr:colOff>
      <xdr:row>11</xdr:row>
      <xdr:rowOff>161925</xdr:rowOff>
    </xdr:from>
    <xdr:to>
      <xdr:col>6</xdr:col>
      <xdr:colOff>685800</xdr:colOff>
      <xdr:row>23</xdr:row>
      <xdr:rowOff>114300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carnet1" displayName="carnet1" ref="F3:O23" totalsRowShown="0" headerRowDxfId="185" headerRowBorderDxfId="184" headerRowCellStyle="60 % - Accent3">
  <autoFilter ref="F3:O23"/>
  <tableColumns count="10">
    <tableColumn id="3" name="#" dataDxfId="183"/>
    <tableColumn id="4" name="Marché"/>
    <tableColumn id="5" name="Ouverture" dataDxfId="182"/>
    <tableColumn id="6" name="Lot"/>
    <tableColumn id="7" name="Fermeture" dataDxfId="181"/>
    <tableColumn id="2" name="Gain" dataDxfId="180" dataCellStyle="Monétaire"/>
    <tableColumn id="8" name="Dif">
      <calculatedColumnFormula>IF($I4&lt;0,$H4-$J4,$J4-$H4)</calculatedColumnFormula>
    </tableColumn>
    <tableColumn id="10" name="Pts" dataDxfId="179">
      <calculatedColumnFormula>M3+carnet1[[#This Row],[Gain]]</calculatedColumnFormula>
    </tableColumn>
    <tableColumn id="1" name="Capital" dataDxfId="178" dataCellStyle="Monétaire">
      <calculatedColumnFormula>N3+#REF!</calculatedColumnFormula>
    </tableColumn>
    <tableColumn id="9" name="Série" dataDxfId="177" dataCellStyle="Monétaire">
      <calculatedColumnFormula>IF(OR(carnet1[[#This Row],[Capital]]&gt;0,carnet1[[#This Row],[Capital]]=0),IF(OR($L3&gt;0,$L3=0),O3+1,1),IF($L3&lt;0,O3-1,-1))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carnet2" displayName="carnet2" ref="F3:O31" totalsRowShown="0" headerRowDxfId="146" headerRowBorderDxfId="145" headerRowCellStyle="60 % - Accent3">
  <autoFilter ref="F3:O31"/>
  <tableColumns count="10">
    <tableColumn id="3" name="#" dataDxfId="144"/>
    <tableColumn id="4" name="Marché"/>
    <tableColumn id="5" name="Ouverture" dataDxfId="143"/>
    <tableColumn id="6" name="Lot"/>
    <tableColumn id="7" name="Fermeture" dataDxfId="142"/>
    <tableColumn id="2" name="Gain" dataDxfId="141" dataCellStyle="Monétaire"/>
    <tableColumn id="8" name="Dif">
      <calculatedColumnFormula>IF($I4&lt;0,$H4-$J4,$J4-$H4)</calculatedColumnFormula>
    </tableColumn>
    <tableColumn id="10" name="Pts" dataDxfId="140">
      <calculatedColumnFormula>M3+carnet2[[#This Row],[Gain]]</calculatedColumnFormula>
    </tableColumn>
    <tableColumn id="1" name="Capital" dataDxfId="139" dataCellStyle="Monétaire">
      <calculatedColumnFormula>N3+#REF!</calculatedColumnFormula>
    </tableColumn>
    <tableColumn id="9" name="Série" dataDxfId="138" dataCellStyle="Monétaire">
      <calculatedColumnFormula>IF(OR(carnet2[[#This Row],[Capital]]&gt;0,carnet2[[#This Row],[Capital]]=0),IF(OR($L3&gt;0,$L3=0),O3+1,1),IF($L3&lt;0,O3-1,-1))</calculatedColumnFormula>
    </tableColumn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1" name="carnet3" displayName="carnet3" ref="F3:O23" totalsRowShown="0" headerRowDxfId="107" headerRowBorderDxfId="106" headerRowCellStyle="60 % - Accent3">
  <autoFilter ref="F3:O23"/>
  <tableColumns count="10">
    <tableColumn id="3" name="#" dataDxfId="105"/>
    <tableColumn id="4" name="Marché"/>
    <tableColumn id="5" name="Ouverture" dataDxfId="104"/>
    <tableColumn id="6" name="Lot"/>
    <tableColumn id="7" name="Fermeture" dataDxfId="103"/>
    <tableColumn id="2" name="Gain" dataDxfId="102" dataCellStyle="Monétaire"/>
    <tableColumn id="8" name="Dif" dataDxfId="101">
      <calculatedColumnFormula>IF(carnet3[[#This Row],['#]]&lt;&gt;"",IF(carnet3[[#This Row],[Lot]]&lt;0,carnet3[[#This Row],[Ouverture]]-carnet3[[#This Row],[Fermeture]],carnet3[[#This Row],[Fermeture]]-carnet3[[#This Row],[Ouverture]]),0)</calculatedColumnFormula>
    </tableColumn>
    <tableColumn id="10" name="Pts" dataDxfId="100">
      <calculatedColumnFormula>M3+carnet3[[#This Row],[Gain]]</calculatedColumnFormula>
    </tableColumn>
    <tableColumn id="1" name="Capital" dataDxfId="99" dataCellStyle="Monétaire">
      <calculatedColumnFormula>N3+#REF!</calculatedColumnFormula>
    </tableColumn>
    <tableColumn id="9" name="Série" dataDxfId="98" dataCellStyle="Monétaire">
      <calculatedColumnFormula>IF(OR(carnet3[[#This Row],[Capital]]&gt;0,carnet3[[#This Row],[Capital]]=0),IF(OR($L3&gt;0,$L3=0),O3+1,1),IF($L3&lt;0,O3-1,-1))</calculatedColumnFormula>
    </tableColumn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id="3" name="carnet4" displayName="carnet4" ref="F3:O20" totalsRowShown="0" headerRowDxfId="67" headerRowBorderDxfId="66" headerRowCellStyle="60 % - Accent3">
  <autoFilter ref="F3:O20"/>
  <tableColumns count="10">
    <tableColumn id="3" name="#" dataDxfId="65"/>
    <tableColumn id="4" name="Marché"/>
    <tableColumn id="5" name="Ouverture" dataDxfId="64"/>
    <tableColumn id="6" name="Lot"/>
    <tableColumn id="7" name="Fermeture" dataDxfId="63"/>
    <tableColumn id="2" name="Gain" dataDxfId="62" dataCellStyle="Monétaire"/>
    <tableColumn id="8" name="Dif" dataDxfId="61">
      <calculatedColumnFormula>IF(carnet4[[#This Row],['#]]&lt;&gt;"",IF(carnet4[[#This Row],[Lot]]&lt;0,carnet4[[#This Row],[Ouverture]]-carnet4[[#This Row],[Fermeture]],carnet4[[#This Row],[Fermeture]]-carnet4[[#This Row],[Ouverture]]),0)</calculatedColumnFormula>
    </tableColumn>
    <tableColumn id="10" name="Pts" dataDxfId="60">
      <calculatedColumnFormula>M3+carnet4[[#This Row],[Gain]]</calculatedColumnFormula>
    </tableColumn>
    <tableColumn id="1" name="Capital" dataDxfId="59" dataCellStyle="Monétaire">
      <calculatedColumnFormula>N3+#REF!</calculatedColumnFormula>
    </tableColumn>
    <tableColumn id="9" name="Série" dataDxfId="58" dataCellStyle="Monétaire">
      <calculatedColumnFormula>IF(OR(carnet4[[#This Row],[Capital]]&gt;0,carnet4[[#This Row],[Capital]]=0),IF(OR($L3&gt;0,$L3=0),O3+1,1),IF($L3&lt;0,O3-1,-1))</calculatedColumnFormula>
    </tableColumn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id="5" name="carnet5" displayName="carnet5" ref="F3:O22" totalsRowShown="0" headerRowDxfId="29" headerRowBorderDxfId="28" headerRowCellStyle="60 % - Accent3">
  <autoFilter ref="F3:O22"/>
  <tableColumns count="10">
    <tableColumn id="3" name="#" dataDxfId="27"/>
    <tableColumn id="4" name="Marché"/>
    <tableColumn id="5" name="Ouverture" dataDxfId="26"/>
    <tableColumn id="6" name="Lot"/>
    <tableColumn id="7" name="Fermeture" dataDxfId="25"/>
    <tableColumn id="2" name="Gain" dataDxfId="24" dataCellStyle="Monétaire"/>
    <tableColumn id="8" name="Dif" dataDxfId="23">
      <calculatedColumnFormula>IF(carnet5[[#This Row],['#]]&lt;&gt;"",IF(carnet5[[#This Row],[Lot]]&lt;0,carnet5[[#This Row],[Ouverture]]-carnet5[[#This Row],[Fermeture]],carnet5[[#This Row],[Fermeture]]-carnet5[[#This Row],[Ouverture]]),0)</calculatedColumnFormula>
    </tableColumn>
    <tableColumn id="10" name="Pts" dataDxfId="22">
      <calculatedColumnFormula>M3+carnet5[[#This Row],[Gain]]</calculatedColumnFormula>
    </tableColumn>
    <tableColumn id="1" name="Capital" dataDxfId="21" dataCellStyle="Monétaire">
      <calculatedColumnFormula>N3+#REF!</calculatedColumnFormula>
    </tableColumn>
    <tableColumn id="9" name="Série" dataDxfId="20" dataCellStyle="Monétaire">
      <calculatedColumnFormula>IF(OR(carnet5[[#This Row],[Capital]]&gt;0,carnet5[[#This Row],[Capital]]=0),IF(OR($L3&gt;0,$L3=0),O3+1,1),IF($L3&lt;0,O3-1,-1))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9"/>
  <sheetViews>
    <sheetView tabSelected="1" zoomScaleNormal="100" workbookViewId="0">
      <pane ySplit="3" topLeftCell="A5" activePane="bottomLeft" state="frozen"/>
      <selection pane="bottomLeft" activeCell="J36" sqref="J36"/>
    </sheetView>
  </sheetViews>
  <sheetFormatPr baseColWidth="10" defaultRowHeight="15" x14ac:dyDescent="0.25"/>
  <cols>
    <col min="2" max="2" width="12.140625" bestFit="1" customWidth="1"/>
    <col min="3" max="3" width="11.85546875" bestFit="1" customWidth="1"/>
    <col min="4" max="4" width="4.28515625" bestFit="1" customWidth="1"/>
    <col min="5" max="5" width="0.5703125" customWidth="1"/>
    <col min="6" max="6" width="4.28515625" bestFit="1" customWidth="1"/>
    <col min="7" max="7" width="12.7109375" customWidth="1"/>
    <col min="8" max="8" width="12.42578125" style="1" bestFit="1" customWidth="1"/>
    <col min="9" max="9" width="6" bestFit="1" customWidth="1"/>
    <col min="10" max="10" width="12.7109375" style="1" bestFit="1" customWidth="1"/>
    <col min="11" max="11" width="12.7109375" style="1" customWidth="1"/>
    <col min="12" max="12" width="9.5703125" bestFit="1" customWidth="1"/>
    <col min="13" max="13" width="9.5703125" customWidth="1"/>
    <col min="14" max="14" width="12" style="3" customWidth="1"/>
    <col min="15" max="15" width="9" style="3" customWidth="1"/>
    <col min="16" max="16" width="10.140625" style="3" customWidth="1"/>
    <col min="18" max="18" width="12.42578125" customWidth="1"/>
    <col min="19" max="19" width="11.85546875" customWidth="1"/>
    <col min="20" max="20" width="12.28515625" customWidth="1"/>
  </cols>
  <sheetData>
    <row r="1" spans="1:18" ht="15.75" x14ac:dyDescent="0.25">
      <c r="A1" s="60" t="str">
        <f ca="1">MID(CELL("nomfichier"),FIND("]",CELL("nomfichier"))+1,20)</f>
        <v>20 JUIN 2016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/>
    </row>
    <row r="2" spans="1:18" ht="4.5" customHeight="1" x14ac:dyDescent="0.25"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8" x14ac:dyDescent="0.25">
      <c r="F3" s="22" t="s">
        <v>13</v>
      </c>
      <c r="G3" s="22" t="s">
        <v>0</v>
      </c>
      <c r="H3" s="22" t="s">
        <v>1</v>
      </c>
      <c r="I3" s="22" t="s">
        <v>25</v>
      </c>
      <c r="J3" s="22" t="s">
        <v>2</v>
      </c>
      <c r="K3" s="22" t="s">
        <v>8</v>
      </c>
      <c r="L3" s="22" t="s">
        <v>3</v>
      </c>
      <c r="M3" s="22" t="s">
        <v>14</v>
      </c>
      <c r="N3" s="22" t="s">
        <v>5</v>
      </c>
      <c r="O3" s="22" t="s">
        <v>24</v>
      </c>
    </row>
    <row r="4" spans="1:18" s="10" customFormat="1" ht="15.75" hidden="1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>
        <f>IF($I4&lt;0,$H4-$J4,$J4-$H4)</f>
        <v>0</v>
      </c>
      <c r="M4" s="31">
        <v>0</v>
      </c>
      <c r="N4" s="31">
        <v>0</v>
      </c>
      <c r="O4" s="31">
        <v>0</v>
      </c>
      <c r="P4" s="31"/>
    </row>
    <row r="5" spans="1:18" ht="15" customHeight="1" x14ac:dyDescent="0.25">
      <c r="A5" s="62">
        <f>MAX(carnet1['#])</f>
        <v>0</v>
      </c>
      <c r="B5" s="62"/>
      <c r="C5" s="61" t="s">
        <v>15</v>
      </c>
      <c r="F5" s="6"/>
      <c r="H5"/>
      <c r="J5"/>
      <c r="K5" s="36"/>
      <c r="L5" s="35">
        <f>IF(carnet1[[#This Row],[Lot]]&lt;0,carnet1[[#This Row],[Ouverture]]-carnet1[[#This Row],[Fermeture]],carnet1[[#This Row],[Fermeture]]-carnet1[[#This Row],[Ouverture]])</f>
        <v>0</v>
      </c>
      <c r="M5" s="7">
        <f>M4+carnet1[Dif]</f>
        <v>0</v>
      </c>
      <c r="N5" s="36">
        <f>N4+carnet1[[#This Row],[Gain]]</f>
        <v>0</v>
      </c>
      <c r="O5" s="34">
        <f>IF(carnet1[[#This Row],['#]]&lt;&gt;0,IF(OR(carnet1[[#This Row],[Dif]]&gt;0,carnet1[[#This Row],[Dif]]=0),IF(OR($L4&gt;0,$L4=0),O4+1,1),IF($L4&lt;0,O4-1,-1)),0)</f>
        <v>0</v>
      </c>
      <c r="P5" s="5"/>
    </row>
    <row r="6" spans="1:18" ht="15" customHeight="1" x14ac:dyDescent="0.25">
      <c r="A6" s="62"/>
      <c r="B6" s="62"/>
      <c r="C6" s="61"/>
      <c r="F6" s="6"/>
      <c r="H6"/>
      <c r="J6"/>
      <c r="K6" s="36"/>
      <c r="L6" s="35">
        <f>IF(carnet1[[#This Row],[Lot]]&lt;0,carnet1[[#This Row],[Ouverture]]-carnet1[[#This Row],[Fermeture]],carnet1[[#This Row],[Fermeture]]-carnet1[[#This Row],[Ouverture]])</f>
        <v>0</v>
      </c>
      <c r="M6" s="7">
        <f>M5+carnet1[Dif]</f>
        <v>0</v>
      </c>
      <c r="N6" s="36">
        <f>N5+carnet1[[#This Row],[Gain]]</f>
        <v>0</v>
      </c>
      <c r="O6" s="34">
        <f>IF(carnet1[[#This Row],['#]]&lt;&gt;0,IF(OR(carnet1[[#This Row],[Dif]]&gt;0,carnet1[[#This Row],[Dif]]=0),IF(OR($L5&gt;0,$L5=0),O5+1,1),IF($L5&lt;0,O5-1,-1)),0)</f>
        <v>0</v>
      </c>
      <c r="P6" s="5"/>
    </row>
    <row r="7" spans="1:18" x14ac:dyDescent="0.25">
      <c r="F7" s="6"/>
      <c r="H7"/>
      <c r="J7"/>
      <c r="K7" s="36"/>
      <c r="L7" s="35">
        <f>IF(carnet1[[#This Row],[Lot]]&lt;0,carnet1[[#This Row],[Ouverture]]-carnet1[[#This Row],[Fermeture]],carnet1[[#This Row],[Fermeture]]-carnet1[[#This Row],[Ouverture]])</f>
        <v>0</v>
      </c>
      <c r="M7" s="7">
        <f>M6+carnet1[Dif]</f>
        <v>0</v>
      </c>
      <c r="N7" s="36">
        <f>N6+carnet1[[#This Row],[Gain]]</f>
        <v>0</v>
      </c>
      <c r="O7" s="34">
        <f>IF(carnet1[[#This Row],['#]]&lt;&gt;0,IF(OR(carnet1[[#This Row],[Dif]]&gt;0,carnet1[[#This Row],[Dif]]=0),IF(OR($L6&gt;0,$L6=0),O6+1,1),IF($L6&lt;0,O6-1,-1)),0)</f>
        <v>0</v>
      </c>
      <c r="P7" s="5"/>
    </row>
    <row r="8" spans="1:18" ht="15.75" x14ac:dyDescent="0.25">
      <c r="A8" s="54" t="s">
        <v>21</v>
      </c>
      <c r="B8" s="24" t="s">
        <v>20</v>
      </c>
      <c r="C8" s="24" t="s">
        <v>14</v>
      </c>
      <c r="D8" s="21"/>
      <c r="F8" s="6"/>
      <c r="H8"/>
      <c r="J8"/>
      <c r="K8" s="36"/>
      <c r="L8" s="35">
        <f>IF(carnet1[[#This Row],[Lot]]&lt;0,carnet1[[#This Row],[Ouverture]]-carnet1[[#This Row],[Fermeture]],carnet1[[#This Row],[Fermeture]]-carnet1[[#This Row],[Ouverture]])</f>
        <v>0</v>
      </c>
      <c r="M8" s="7">
        <f>M7+carnet1[Dif]</f>
        <v>0</v>
      </c>
      <c r="N8" s="36">
        <f>N7+carnet1[[#This Row],[Gain]]</f>
        <v>0</v>
      </c>
      <c r="O8" s="34">
        <f>IF(carnet1[[#This Row],['#]]&lt;&gt;0,IF(OR(carnet1[[#This Row],[Dif]]&gt;0,carnet1[[#This Row],[Dif]]=0),IF(OR($L7&gt;0,$L7=0),O7+1,1),IF($L7&lt;0,O7-1,-1)),0)</f>
        <v>0</v>
      </c>
      <c r="P8" s="5"/>
    </row>
    <row r="9" spans="1:18" x14ac:dyDescent="0.25">
      <c r="A9" s="23" t="s">
        <v>6</v>
      </c>
      <c r="B9" s="14">
        <f>_xlfn.MINIFS(carnet1[Capital],carnet1[Capital],"&lt;&gt;0")</f>
        <v>0</v>
      </c>
      <c r="C9" s="15">
        <f>_xlfn.MINIFS(carnet1[Pts],carnet1[Pts],"&lt;&gt;0")</f>
        <v>0</v>
      </c>
      <c r="D9" s="11"/>
      <c r="F9" s="6"/>
      <c r="H9"/>
      <c r="J9"/>
      <c r="K9" s="36"/>
      <c r="L9" s="35">
        <f>IF(carnet1[[#This Row],[Lot]]&lt;0,carnet1[[#This Row],[Ouverture]]-carnet1[[#This Row],[Fermeture]],carnet1[[#This Row],[Fermeture]]-carnet1[[#This Row],[Ouverture]])</f>
        <v>0</v>
      </c>
      <c r="M9" s="7">
        <f>M8+carnet1[Dif]</f>
        <v>0</v>
      </c>
      <c r="N9" s="36">
        <f>N8+carnet1[[#This Row],[Gain]]</f>
        <v>0</v>
      </c>
      <c r="O9" s="34">
        <f>IF(carnet1[[#This Row],['#]]&lt;&gt;0,IF(OR(carnet1[[#This Row],[Dif]]&gt;0,carnet1[[#This Row],[Dif]]=0),IF(OR($L8&gt;0,$L8=0),O8+1,1),IF($L8&lt;0,O8-1,-1)),0)</f>
        <v>0</v>
      </c>
      <c r="P9" s="5"/>
    </row>
    <row r="10" spans="1:18" ht="15.75" x14ac:dyDescent="0.25">
      <c r="A10" s="23" t="s">
        <v>4</v>
      </c>
      <c r="B10" s="13">
        <f>SUM(carnet1[Gain])</f>
        <v>0</v>
      </c>
      <c r="C10" s="8">
        <f>SUM(carnet1[Dif])</f>
        <v>0</v>
      </c>
      <c r="D10" s="12"/>
      <c r="F10" s="6"/>
      <c r="H10"/>
      <c r="J10"/>
      <c r="K10" s="36"/>
      <c r="L10" s="35">
        <f>IF(carnet1[[#This Row],[Lot]]&lt;0,carnet1[[#This Row],[Ouverture]]-carnet1[[#This Row],[Fermeture]],carnet1[[#This Row],[Fermeture]]-carnet1[[#This Row],[Ouverture]])</f>
        <v>0</v>
      </c>
      <c r="M10" s="7">
        <f>M9+carnet1[Dif]</f>
        <v>0</v>
      </c>
      <c r="N10" s="36">
        <f>N9+carnet1[[#This Row],[Gain]]</f>
        <v>0</v>
      </c>
      <c r="O10" s="34">
        <f>IF(carnet1[[#This Row],['#]]&lt;&gt;0,IF(OR(carnet1[[#This Row],[Dif]]&gt;0,carnet1[[#This Row],[Dif]]=0),IF(OR($L9&gt;0,$L9=0),O9+1,1),IF($L9&lt;0,O9-1,-1)),0)</f>
        <v>0</v>
      </c>
      <c r="P10" s="5"/>
    </row>
    <row r="11" spans="1:18" x14ac:dyDescent="0.25">
      <c r="A11" s="23" t="s">
        <v>7</v>
      </c>
      <c r="B11" s="16">
        <f>_xlfn.MAXIFS(carnet1[Capital],carnet1[Capital],"&lt;&gt;0")</f>
        <v>0</v>
      </c>
      <c r="C11" s="17">
        <f>_xlfn.MAXIFS(carnet1[Pts],carnet1[Pts],"&lt;&gt;0")</f>
        <v>0</v>
      </c>
      <c r="D11" s="11"/>
      <c r="F11" s="6"/>
      <c r="H11"/>
      <c r="J11"/>
      <c r="K11" s="36"/>
      <c r="L11" s="35">
        <f>IF(carnet1[[#This Row],[Lot]]&lt;0,carnet1[[#This Row],[Ouverture]]-carnet1[[#This Row],[Fermeture]],carnet1[[#This Row],[Fermeture]]-carnet1[[#This Row],[Ouverture]])</f>
        <v>0</v>
      </c>
      <c r="M11" s="7">
        <f>M10+carnet1[Dif]</f>
        <v>0</v>
      </c>
      <c r="N11" s="36">
        <f>N10+carnet1[[#This Row],[Gain]]</f>
        <v>0</v>
      </c>
      <c r="O11" s="34">
        <f>IF(carnet1[[#This Row],['#]]&lt;&gt;0,IF(OR(carnet1[[#This Row],[Dif]]&gt;0,carnet1[[#This Row],[Dif]]=0),IF(OR($L10&gt;0,$L10=0),O10+1,1),IF($L10&lt;0,O10-1,-1)),0)</f>
        <v>0</v>
      </c>
      <c r="P11" s="5"/>
    </row>
    <row r="12" spans="1:18" x14ac:dyDescent="0.25">
      <c r="F12" s="6"/>
      <c r="H12"/>
      <c r="J12"/>
      <c r="K12" s="36"/>
      <c r="L12" s="35">
        <f>IF(carnet1[[#This Row],[Lot]]&lt;0,carnet1[[#This Row],[Ouverture]]-carnet1[[#This Row],[Fermeture]],carnet1[[#This Row],[Fermeture]]-carnet1[[#This Row],[Ouverture]])</f>
        <v>0</v>
      </c>
      <c r="M12" s="7">
        <f>M11+carnet1[Dif]</f>
        <v>0</v>
      </c>
      <c r="N12" s="36">
        <f>N11+carnet1[[#This Row],[Gain]]</f>
        <v>0</v>
      </c>
      <c r="O12" s="34">
        <f>IF(carnet1[[#This Row],['#]]&lt;&gt;0,IF(OR(carnet1[[#This Row],[Dif]]&gt;0,carnet1[[#This Row],[Dif]]=0),IF(OR($L11&gt;0,$L11=0),O11+1,1),IF($L11&lt;0,O11-1,-1)),0)</f>
        <v>0</v>
      </c>
      <c r="P12" s="5"/>
    </row>
    <row r="13" spans="1:18" ht="15.75" x14ac:dyDescent="0.25">
      <c r="A13" s="54" t="s">
        <v>15</v>
      </c>
      <c r="B13" s="24" t="s">
        <v>19</v>
      </c>
      <c r="C13" s="24" t="s">
        <v>18</v>
      </c>
      <c r="D13" s="28" t="s">
        <v>17</v>
      </c>
      <c r="F13" s="6"/>
      <c r="H13"/>
      <c r="J13"/>
      <c r="K13" s="36"/>
      <c r="L13" s="35">
        <f>IF(carnet1[[#This Row],[Lot]]&lt;0,carnet1[[#This Row],[Ouverture]]-carnet1[[#This Row],[Fermeture]],carnet1[[#This Row],[Fermeture]]-carnet1[[#This Row],[Ouverture]])</f>
        <v>0</v>
      </c>
      <c r="M13" s="7">
        <f>M12+carnet1[Dif]</f>
        <v>0</v>
      </c>
      <c r="N13" s="36">
        <f>N12+carnet1[[#This Row],[Gain]]</f>
        <v>0</v>
      </c>
      <c r="O13" s="34">
        <f>IF(carnet1[[#This Row],['#]]&lt;&gt;0,IF(OR(carnet1[[#This Row],[Dif]]&gt;0,carnet1[[#This Row],[Dif]]=0),IF(OR($L12&gt;0,$L12=0),O12+1,1),IF($L12&lt;0,O12-1,-1)),0)</f>
        <v>0</v>
      </c>
      <c r="P13" s="5"/>
    </row>
    <row r="14" spans="1:18" x14ac:dyDescent="0.25">
      <c r="A14" s="23" t="s">
        <v>9</v>
      </c>
      <c r="B14" s="18">
        <f>COUNTIF(carnet1[Dif],"&gt;0")</f>
        <v>0</v>
      </c>
      <c r="C14" s="25">
        <f>COUNTIF(carnet1[Dif],"&lt;0")</f>
        <v>0</v>
      </c>
      <c r="D14" s="29">
        <f>IF($A$5&lt;&gt;0,COUNTIF(carnet1[Dif],"=0,0"),0)</f>
        <v>0</v>
      </c>
      <c r="F14" s="6"/>
      <c r="H14"/>
      <c r="J14"/>
      <c r="K14" s="36"/>
      <c r="L14" s="35">
        <f>IF(carnet1[[#This Row],[Lot]]&lt;0,carnet1[[#This Row],[Ouverture]]-carnet1[[#This Row],[Fermeture]],carnet1[[#This Row],[Fermeture]]-carnet1[[#This Row],[Ouverture]])</f>
        <v>0</v>
      </c>
      <c r="M14" s="7">
        <f>M13+carnet1[Dif]</f>
        <v>0</v>
      </c>
      <c r="N14" s="36">
        <f>N13+carnet1[[#This Row],[Gain]]</f>
        <v>0</v>
      </c>
      <c r="O14" s="34">
        <f>IF(carnet1[[#This Row],['#]]&lt;&gt;0,IF(OR(carnet1[[#This Row],[Dif]]&gt;0,carnet1[[#This Row],[Dif]]=0),IF(OR($L13&gt;0,$L13=0),O13+1,1),IF($L13&lt;0,O13-1,-1)),0)</f>
        <v>0</v>
      </c>
      <c r="P14" s="5"/>
    </row>
    <row r="15" spans="1:18" ht="15.75" x14ac:dyDescent="0.25">
      <c r="A15" s="23" t="s">
        <v>10</v>
      </c>
      <c r="B15" s="19">
        <f>IF($A$5&lt;&gt;0,B14/$A$5,0)</f>
        <v>0</v>
      </c>
      <c r="C15" s="26">
        <f>IF($A$5&lt;&gt;0,C14/$A$5,0)</f>
        <v>0</v>
      </c>
      <c r="D15" s="30">
        <f>IF($A$5&lt;&gt;0,D14/$A$5,0)</f>
        <v>0</v>
      </c>
      <c r="F15" s="6"/>
      <c r="H15"/>
      <c r="J15"/>
      <c r="K15" s="36"/>
      <c r="L15" s="35">
        <f>IF(carnet1[[#This Row],[Lot]]&lt;0,carnet1[[#This Row],[Ouverture]]-carnet1[[#This Row],[Fermeture]],carnet1[[#This Row],[Fermeture]]-carnet1[[#This Row],[Ouverture]])</f>
        <v>0</v>
      </c>
      <c r="M15" s="7">
        <f>M14+carnet1[Dif]</f>
        <v>0</v>
      </c>
      <c r="N15" s="36">
        <f>N14+carnet1[[#This Row],[Gain]]</f>
        <v>0</v>
      </c>
      <c r="O15" s="34">
        <f>IF(carnet1[[#This Row],['#]]&lt;&gt;0,IF(OR(carnet1[[#This Row],[Dif]]&gt;0,carnet1[[#This Row],[Dif]]=0),IF(OR($L14&gt;0,$L14=0),O14+1,1),IF($L14&lt;0,O14-1,-1)),0)</f>
        <v>0</v>
      </c>
      <c r="P15" s="5"/>
      <c r="R15" s="4"/>
    </row>
    <row r="16" spans="1:18" x14ac:dyDescent="0.25">
      <c r="A16" s="23" t="s">
        <v>24</v>
      </c>
      <c r="B16" s="20">
        <f>MAX(carnet1[Série])</f>
        <v>0</v>
      </c>
      <c r="C16" s="27">
        <f>ABS(MIN(carnet1[Série]))</f>
        <v>0</v>
      </c>
      <c r="D16" s="29"/>
      <c r="F16" s="6"/>
      <c r="H16"/>
      <c r="J16"/>
      <c r="K16" s="36"/>
      <c r="L16" s="35">
        <f>IF(carnet1[[#This Row],[Lot]]&lt;0,carnet1[[#This Row],[Ouverture]]-carnet1[[#This Row],[Fermeture]],carnet1[[#This Row],[Fermeture]]-carnet1[[#This Row],[Ouverture]])</f>
        <v>0</v>
      </c>
      <c r="M16" s="7">
        <f>M15+carnet1[Dif]</f>
        <v>0</v>
      </c>
      <c r="N16" s="36">
        <f>N15+carnet1[[#This Row],[Gain]]</f>
        <v>0</v>
      </c>
      <c r="O16" s="34">
        <f>IF(carnet1[[#This Row],['#]]&lt;&gt;0,IF(OR(carnet1[[#This Row],[Dif]]&gt;0,carnet1[[#This Row],[Dif]]=0),IF(OR($L15&gt;0,$L15=0),O15+1,1),IF($L15&lt;0,O15-1,-1)),0)</f>
        <v>0</v>
      </c>
      <c r="P16" s="5"/>
    </row>
    <row r="17" spans="1:18" x14ac:dyDescent="0.25">
      <c r="A17" s="23" t="s">
        <v>11</v>
      </c>
      <c r="B17" s="37">
        <f>IF(A5&lt;&gt;0,AVERAGEIF(carnet1[Dif],"&gt;0",carnet1[Gain]),0)</f>
        <v>0</v>
      </c>
      <c r="C17" s="37">
        <f>IF(MIN(carnet1[Dif])&lt;0,IF(A5&lt;&gt;0,AVERAGEIF(carnet1[Dif],"&lt;0",carnet1[Gain]),0),0)</f>
        <v>0</v>
      </c>
      <c r="D17" s="29"/>
      <c r="F17" s="6"/>
      <c r="H17"/>
      <c r="J17"/>
      <c r="K17" s="36"/>
      <c r="L17" s="35">
        <f>IF(carnet1[[#This Row],[Lot]]&lt;0,carnet1[[#This Row],[Ouverture]]-carnet1[[#This Row],[Fermeture]],carnet1[[#This Row],[Fermeture]]-carnet1[[#This Row],[Ouverture]])</f>
        <v>0</v>
      </c>
      <c r="M17" s="7">
        <f>M16+carnet1[Dif]</f>
        <v>0</v>
      </c>
      <c r="N17" s="36">
        <f>N16+carnet1[[#This Row],[Gain]]</f>
        <v>0</v>
      </c>
      <c r="O17" s="34">
        <f>IF(carnet1[[#This Row],['#]]&lt;&gt;0,IF(OR(carnet1[[#This Row],[Dif]]&gt;0,carnet1[[#This Row],[Dif]]=0),IF(OR($L16&gt;0,$L16=0),O16+1,1),IF($L16&lt;0,O16-1,-1)),0)</f>
        <v>0</v>
      </c>
      <c r="P17" s="5"/>
    </row>
    <row r="18" spans="1:18" x14ac:dyDescent="0.25">
      <c r="A18" s="23" t="s">
        <v>16</v>
      </c>
      <c r="B18" s="37">
        <f>_xlfn.MAXIFS(carnet1[Gain],carnet1[Gain],"&gt;0")</f>
        <v>0</v>
      </c>
      <c r="C18" s="37">
        <f>_xlfn.MINIFS(carnet1[Gain],carnet1[Gain],"&lt;0")</f>
        <v>0</v>
      </c>
      <c r="D18" s="29"/>
      <c r="F18" s="6"/>
      <c r="H18"/>
      <c r="J18"/>
      <c r="K18" s="36"/>
      <c r="L18" s="35">
        <f>IF(carnet1[[#This Row],[Lot]]&lt;0,carnet1[[#This Row],[Ouverture]]-carnet1[[#This Row],[Fermeture]],carnet1[[#This Row],[Fermeture]]-carnet1[[#This Row],[Ouverture]])</f>
        <v>0</v>
      </c>
      <c r="M18" s="7">
        <f>M17+carnet1[Dif]</f>
        <v>0</v>
      </c>
      <c r="N18" s="36">
        <f>N17+carnet1[[#This Row],[Gain]]</f>
        <v>0</v>
      </c>
      <c r="O18" s="34">
        <f>IF(carnet1[[#This Row],['#]]&lt;&gt;0,IF(OR(carnet1[[#This Row],[Dif]]&gt;0,carnet1[[#This Row],[Dif]]=0),IF(OR($L17&gt;0,$L17=0),O17+1,1),IF($L17&lt;0,O17-1,-1)),0)</f>
        <v>0</v>
      </c>
      <c r="P18" s="5"/>
    </row>
    <row r="19" spans="1:18" x14ac:dyDescent="0.25">
      <c r="A19" s="32" t="s">
        <v>12</v>
      </c>
      <c r="B19" s="37">
        <f>SUMIF(carnet1[Gain],"&gt;0",carnet1[Gain])</f>
        <v>0</v>
      </c>
      <c r="C19" s="37">
        <f>SUMIF(carnet1[Gain],"&lt;0",carnet1[Gain])</f>
        <v>0</v>
      </c>
      <c r="D19" s="29"/>
      <c r="F19" s="6"/>
      <c r="H19"/>
      <c r="J19"/>
      <c r="K19" s="36"/>
      <c r="L19" s="35">
        <f>IF(carnet1[[#This Row],[Lot]]&lt;0,carnet1[[#This Row],[Ouverture]]-carnet1[[#This Row],[Fermeture]],carnet1[[#This Row],[Fermeture]]-carnet1[[#This Row],[Ouverture]])</f>
        <v>0</v>
      </c>
      <c r="M19" s="7">
        <f>M18+carnet1[Dif]</f>
        <v>0</v>
      </c>
      <c r="N19" s="36">
        <f>N18+carnet1[[#This Row],[Gain]]</f>
        <v>0</v>
      </c>
      <c r="O19" s="34">
        <f>IF(carnet1[[#This Row],['#]]&lt;&gt;0,IF(OR(carnet1[[#This Row],[Dif]]&gt;0,carnet1[[#This Row],[Dif]]=0),IF(OR($L18&gt;0,$L18=0),O18+1,1),IF($L18&lt;0,O18-1,-1)),0)</f>
        <v>0</v>
      </c>
      <c r="P19" s="5"/>
    </row>
    <row r="20" spans="1:18" x14ac:dyDescent="0.25">
      <c r="A20" s="23" t="s">
        <v>23</v>
      </c>
      <c r="B20" s="33">
        <f>IF(A5&lt;&gt;0,AVERAGEIF(carnet1[Dif],"&gt;0",carnet1[Dif]),0)</f>
        <v>0</v>
      </c>
      <c r="C20" s="40">
        <f>IF(A5&lt;&gt;0,AVERAGEIF(carnet1[Dif],"&lt;0",carnet1[Dif]),0)</f>
        <v>0</v>
      </c>
      <c r="D20" s="29"/>
      <c r="F20" s="6"/>
      <c r="H20"/>
      <c r="J20"/>
      <c r="K20" s="36"/>
      <c r="L20" s="35">
        <f>IF(carnet1[[#This Row],[Lot]]&lt;0,carnet1[[#This Row],[Ouverture]]-carnet1[[#This Row],[Fermeture]],carnet1[[#This Row],[Fermeture]]-carnet1[[#This Row],[Ouverture]])</f>
        <v>0</v>
      </c>
      <c r="M20" s="7">
        <f>M19+carnet1[Dif]</f>
        <v>0</v>
      </c>
      <c r="N20" s="36">
        <f>N19+carnet1[[#This Row],[Gain]]</f>
        <v>0</v>
      </c>
      <c r="O20" s="34">
        <f>IF(carnet1[[#This Row],['#]]&lt;&gt;0,IF(OR(carnet1[[#This Row],[Dif]]&gt;0,carnet1[[#This Row],[Dif]]=0),IF(OR($L19&gt;0,$L19=0),O19+1,1),IF($L19&lt;0,O19-1,-1)),0)</f>
        <v>0</v>
      </c>
      <c r="P20" s="5"/>
    </row>
    <row r="21" spans="1:18" x14ac:dyDescent="0.25">
      <c r="A21" s="32" t="s">
        <v>22</v>
      </c>
      <c r="B21" s="33">
        <f>_xlfn.MAXIFS(carnet1[Dif],carnet1[Dif],"&gt;0")</f>
        <v>0</v>
      </c>
      <c r="C21" s="40">
        <f>_xlfn.MINIFS(carnet1[Dif],carnet1[Dif],"&lt;0")</f>
        <v>0</v>
      </c>
      <c r="D21" s="29"/>
      <c r="F21" s="6"/>
      <c r="H21"/>
      <c r="J21"/>
      <c r="K21" s="36"/>
      <c r="L21" s="35">
        <f>IF(carnet1[[#This Row],[Lot]]&lt;0,carnet1[[#This Row],[Ouverture]]-carnet1[[#This Row],[Fermeture]],carnet1[[#This Row],[Fermeture]]-carnet1[[#This Row],[Ouverture]])</f>
        <v>0</v>
      </c>
      <c r="M21" s="7">
        <f>M20+carnet1[Dif]</f>
        <v>0</v>
      </c>
      <c r="N21" s="36">
        <f>N20+carnet1[[#This Row],[Gain]]</f>
        <v>0</v>
      </c>
      <c r="O21" s="34">
        <f>IF(carnet1[[#This Row],['#]]&lt;&gt;0,IF(OR(carnet1[[#This Row],[Dif]]&gt;0,carnet1[[#This Row],[Dif]]=0),IF(OR($L20&gt;0,$L20=0),O20+1,1),IF($L20&lt;0,O20-1,-1)),0)</f>
        <v>0</v>
      </c>
      <c r="P21" s="5"/>
    </row>
    <row r="22" spans="1:18" x14ac:dyDescent="0.25">
      <c r="A22" s="32" t="s">
        <v>26</v>
      </c>
      <c r="B22" s="33">
        <f>SUMIF(carnet1[Dif],"&gt;0",carnet1[Dif])</f>
        <v>0</v>
      </c>
      <c r="C22" s="40">
        <f>SUMIF(carnet1[Dif],"&lt;0",carnet1[Dif])</f>
        <v>0</v>
      </c>
      <c r="D22" s="29"/>
      <c r="F22" s="6"/>
      <c r="H22"/>
      <c r="J22"/>
      <c r="K22" s="36"/>
      <c r="L22" s="35">
        <f>IF(carnet1[[#This Row],[Lot]]&lt;0,carnet1[[#This Row],[Ouverture]]-carnet1[[#This Row],[Fermeture]],carnet1[[#This Row],[Fermeture]]-carnet1[[#This Row],[Ouverture]])</f>
        <v>0</v>
      </c>
      <c r="M22" s="7">
        <f>M21+carnet1[Dif]</f>
        <v>0</v>
      </c>
      <c r="N22" s="36">
        <f>N21+carnet1[[#This Row],[Gain]]</f>
        <v>0</v>
      </c>
      <c r="O22" s="34">
        <f>IF(carnet1[[#This Row],['#]]&lt;&gt;0,IF(OR(carnet1[[#This Row],[Dif]]&gt;0,carnet1[[#This Row],[Dif]]=0),IF(OR($L21&gt;0,$L21=0),O21+1,1),IF($L21&lt;0,O21-1,-1)),0)</f>
        <v>0</v>
      </c>
      <c r="P22" s="5"/>
    </row>
    <row r="23" spans="1:18" x14ac:dyDescent="0.25">
      <c r="F23" s="6"/>
      <c r="H23"/>
      <c r="J23"/>
      <c r="K23" s="36"/>
      <c r="L23" s="35">
        <f>IF(carnet1[[#This Row],[Lot]]&lt;0,carnet1[[#This Row],[Ouverture]]-carnet1[[#This Row],[Fermeture]],carnet1[[#This Row],[Fermeture]]-carnet1[[#This Row],[Ouverture]])</f>
        <v>0</v>
      </c>
      <c r="M23" s="7">
        <f>M22+carnet1[Dif]</f>
        <v>0</v>
      </c>
      <c r="N23" s="36">
        <f>N22+carnet1[[#This Row],[Gain]]</f>
        <v>0</v>
      </c>
      <c r="O23" s="34">
        <f>IF(carnet1[[#This Row],['#]]&lt;&gt;0,IF(OR(carnet1[[#This Row],[Dif]]&gt;0,carnet1[[#This Row],[Dif]]=0),IF(OR($L22&gt;0,$L22=0),O22+1,1),IF($L22&lt;0,O22-1,-1)),0)</f>
        <v>0</v>
      </c>
      <c r="P23" s="5"/>
      <c r="R23" s="2"/>
    </row>
    <row r="24" spans="1:18" x14ac:dyDescent="0.25">
      <c r="P24" s="5"/>
    </row>
    <row r="25" spans="1:18" x14ac:dyDescent="0.25">
      <c r="P25" s="5"/>
    </row>
    <row r="26" spans="1:18" x14ac:dyDescent="0.25">
      <c r="P26" s="5"/>
      <c r="R26" s="2"/>
    </row>
    <row r="27" spans="1:18" x14ac:dyDescent="0.25">
      <c r="P27" s="5"/>
    </row>
    <row r="28" spans="1:18" x14ac:dyDescent="0.25">
      <c r="P28" s="5"/>
    </row>
    <row r="29" spans="1:18" x14ac:dyDescent="0.25">
      <c r="P29" s="5"/>
    </row>
    <row r="30" spans="1:18" x14ac:dyDescent="0.25">
      <c r="P30" s="5"/>
    </row>
    <row r="31" spans="1:18" x14ac:dyDescent="0.25">
      <c r="P31" s="5"/>
    </row>
    <row r="32" spans="1:18" x14ac:dyDescent="0.25">
      <c r="P32" s="5"/>
    </row>
    <row r="33" spans="16:16" x14ac:dyDescent="0.25">
      <c r="P33" s="5"/>
    </row>
    <row r="34" spans="16:16" x14ac:dyDescent="0.25">
      <c r="P34" s="5"/>
    </row>
    <row r="35" spans="16:16" x14ac:dyDescent="0.25">
      <c r="P35" s="5"/>
    </row>
    <row r="36" spans="16:16" x14ac:dyDescent="0.25">
      <c r="P36" s="5"/>
    </row>
    <row r="37" spans="16:16" x14ac:dyDescent="0.25">
      <c r="P37" s="5"/>
    </row>
    <row r="38" spans="16:16" x14ac:dyDescent="0.25">
      <c r="P38" s="5"/>
    </row>
    <row r="39" spans="16:16" x14ac:dyDescent="0.25">
      <c r="P39" s="5"/>
    </row>
    <row r="40" spans="16:16" x14ac:dyDescent="0.25">
      <c r="P40" s="5"/>
    </row>
    <row r="41" spans="16:16" x14ac:dyDescent="0.25">
      <c r="P41" s="5"/>
    </row>
    <row r="42" spans="16:16" x14ac:dyDescent="0.25">
      <c r="P42" s="5"/>
    </row>
    <row r="43" spans="16:16" x14ac:dyDescent="0.25">
      <c r="P43" s="5"/>
    </row>
    <row r="44" spans="16:16" x14ac:dyDescent="0.25">
      <c r="P44" s="5"/>
    </row>
    <row r="45" spans="16:16" x14ac:dyDescent="0.25">
      <c r="P45" s="5"/>
    </row>
    <row r="46" spans="16:16" x14ac:dyDescent="0.25">
      <c r="P46" s="5"/>
    </row>
    <row r="47" spans="16:16" x14ac:dyDescent="0.25">
      <c r="P47" s="5"/>
    </row>
    <row r="48" spans="16:16" x14ac:dyDescent="0.25">
      <c r="P48" s="5"/>
    </row>
    <row r="49" spans="16:16" x14ac:dyDescent="0.25">
      <c r="P49" s="5"/>
    </row>
    <row r="50" spans="16:16" x14ac:dyDescent="0.25">
      <c r="P50" s="5"/>
    </row>
    <row r="51" spans="16:16" x14ac:dyDescent="0.25">
      <c r="P51" s="5"/>
    </row>
    <row r="52" spans="16:16" x14ac:dyDescent="0.25">
      <c r="P52" s="5"/>
    </row>
    <row r="53" spans="16:16" x14ac:dyDescent="0.25">
      <c r="P53" s="5"/>
    </row>
    <row r="54" spans="16:16" x14ac:dyDescent="0.25">
      <c r="P54" s="5"/>
    </row>
    <row r="55" spans="16:16" x14ac:dyDescent="0.25">
      <c r="P55" s="5"/>
    </row>
    <row r="56" spans="16:16" x14ac:dyDescent="0.25">
      <c r="P56" s="5"/>
    </row>
    <row r="57" spans="16:16" x14ac:dyDescent="0.25">
      <c r="P57" s="5"/>
    </row>
    <row r="58" spans="16:16" x14ac:dyDescent="0.25">
      <c r="P58" s="5"/>
    </row>
    <row r="59" spans="16:16" x14ac:dyDescent="0.25">
      <c r="P59" s="5"/>
    </row>
    <row r="60" spans="16:16" x14ac:dyDescent="0.25">
      <c r="P60" s="5"/>
    </row>
    <row r="61" spans="16:16" x14ac:dyDescent="0.25">
      <c r="P61" s="5"/>
    </row>
    <row r="62" spans="16:16" x14ac:dyDescent="0.25">
      <c r="P62" s="5"/>
    </row>
    <row r="63" spans="16:16" x14ac:dyDescent="0.25">
      <c r="P63" s="5"/>
    </row>
    <row r="64" spans="16:16" x14ac:dyDescent="0.25">
      <c r="P64" s="5"/>
    </row>
    <row r="65" spans="16:16" x14ac:dyDescent="0.25">
      <c r="P65" s="5"/>
    </row>
    <row r="66" spans="16:16" x14ac:dyDescent="0.25">
      <c r="P66" s="5"/>
    </row>
    <row r="67" spans="16:16" x14ac:dyDescent="0.25">
      <c r="P67" s="5"/>
    </row>
    <row r="68" spans="16:16" x14ac:dyDescent="0.25">
      <c r="P68" s="5"/>
    </row>
    <row r="69" spans="16:16" x14ac:dyDescent="0.25">
      <c r="P69" s="5"/>
    </row>
    <row r="70" spans="16:16" x14ac:dyDescent="0.25">
      <c r="P70" s="5"/>
    </row>
    <row r="71" spans="16:16" x14ac:dyDescent="0.25">
      <c r="P71" s="5"/>
    </row>
    <row r="72" spans="16:16" x14ac:dyDescent="0.25">
      <c r="P72" s="5"/>
    </row>
    <row r="73" spans="16:16" x14ac:dyDescent="0.25">
      <c r="P73" s="5"/>
    </row>
    <row r="74" spans="16:16" x14ac:dyDescent="0.25">
      <c r="P74" s="5"/>
    </row>
    <row r="75" spans="16:16" x14ac:dyDescent="0.25">
      <c r="P75" s="5"/>
    </row>
    <row r="76" spans="16:16" x14ac:dyDescent="0.25">
      <c r="P76" s="5"/>
    </row>
    <row r="77" spans="16:16" x14ac:dyDescent="0.25">
      <c r="P77" s="5"/>
    </row>
    <row r="78" spans="16:16" x14ac:dyDescent="0.25">
      <c r="P78" s="5"/>
    </row>
    <row r="79" spans="16:16" x14ac:dyDescent="0.25">
      <c r="P79" s="5"/>
    </row>
    <row r="80" spans="16:16" x14ac:dyDescent="0.25">
      <c r="P80" s="5"/>
    </row>
    <row r="81" spans="16:16" x14ac:dyDescent="0.25">
      <c r="P81" s="5"/>
    </row>
    <row r="82" spans="16:16" x14ac:dyDescent="0.25">
      <c r="P82" s="5"/>
    </row>
    <row r="83" spans="16:16" x14ac:dyDescent="0.25">
      <c r="P83" s="5"/>
    </row>
    <row r="84" spans="16:16" x14ac:dyDescent="0.25">
      <c r="P84" s="5"/>
    </row>
    <row r="85" spans="16:16" x14ac:dyDescent="0.25">
      <c r="P85" s="5"/>
    </row>
    <row r="86" spans="16:16" x14ac:dyDescent="0.25">
      <c r="P86" s="5"/>
    </row>
    <row r="87" spans="16:16" x14ac:dyDescent="0.25">
      <c r="P87" s="5"/>
    </row>
    <row r="88" spans="16:16" x14ac:dyDescent="0.25">
      <c r="P88" s="5"/>
    </row>
    <row r="89" spans="16:16" x14ac:dyDescent="0.25">
      <c r="P89" s="5"/>
    </row>
    <row r="90" spans="16:16" x14ac:dyDescent="0.25">
      <c r="P90" s="5"/>
    </row>
    <row r="91" spans="16:16" x14ac:dyDescent="0.25">
      <c r="P91" s="5"/>
    </row>
    <row r="92" spans="16:16" x14ac:dyDescent="0.25">
      <c r="P92" s="5"/>
    </row>
    <row r="93" spans="16:16" x14ac:dyDescent="0.25">
      <c r="P93" s="5"/>
    </row>
    <row r="94" spans="16:16" ht="15" customHeight="1" x14ac:dyDescent="0.25">
      <c r="P94" s="5"/>
    </row>
    <row r="95" spans="16:16" x14ac:dyDescent="0.25">
      <c r="P95" s="5"/>
    </row>
    <row r="96" spans="16:16" x14ac:dyDescent="0.25">
      <c r="P96" s="5"/>
    </row>
    <row r="97" spans="16:16" x14ac:dyDescent="0.25">
      <c r="P97" s="5"/>
    </row>
    <row r="98" spans="16:16" x14ac:dyDescent="0.25">
      <c r="P98" s="5"/>
    </row>
    <row r="99" spans="16:16" x14ac:dyDescent="0.25">
      <c r="P99" s="5"/>
    </row>
    <row r="100" spans="16:16" x14ac:dyDescent="0.25">
      <c r="P100" s="5"/>
    </row>
    <row r="101" spans="16:16" x14ac:dyDescent="0.25">
      <c r="P101" s="5"/>
    </row>
    <row r="102" spans="16:16" x14ac:dyDescent="0.25">
      <c r="P102" s="5"/>
    </row>
    <row r="103" spans="16:16" x14ac:dyDescent="0.25">
      <c r="P103" s="5"/>
    </row>
    <row r="104" spans="16:16" x14ac:dyDescent="0.25">
      <c r="P104" s="5"/>
    </row>
    <row r="105" spans="16:16" x14ac:dyDescent="0.25">
      <c r="P105" s="5"/>
    </row>
    <row r="106" spans="16:16" x14ac:dyDescent="0.25">
      <c r="P106" s="5"/>
    </row>
    <row r="107" spans="16:16" x14ac:dyDescent="0.25">
      <c r="P107" s="5"/>
    </row>
    <row r="108" spans="16:16" x14ac:dyDescent="0.25">
      <c r="P108" s="5"/>
    </row>
    <row r="109" spans="16:16" x14ac:dyDescent="0.25">
      <c r="P109" s="5"/>
    </row>
    <row r="110" spans="16:16" x14ac:dyDescent="0.25">
      <c r="P110" s="5"/>
    </row>
    <row r="111" spans="16:16" x14ac:dyDescent="0.25">
      <c r="P111" s="5"/>
    </row>
    <row r="112" spans="16:16" x14ac:dyDescent="0.25">
      <c r="P112" s="5"/>
    </row>
    <row r="113" spans="16:16" x14ac:dyDescent="0.25">
      <c r="P113" s="5"/>
    </row>
    <row r="114" spans="16:16" x14ac:dyDescent="0.25">
      <c r="P114" s="5"/>
    </row>
    <row r="115" spans="16:16" x14ac:dyDescent="0.25">
      <c r="P115" s="5"/>
    </row>
    <row r="116" spans="16:16" x14ac:dyDescent="0.25">
      <c r="P116" s="5"/>
    </row>
    <row r="117" spans="16:16" x14ac:dyDescent="0.25">
      <c r="P117" s="5"/>
    </row>
    <row r="118" spans="16:16" x14ac:dyDescent="0.25">
      <c r="P118" s="5"/>
    </row>
    <row r="119" spans="16:16" x14ac:dyDescent="0.25">
      <c r="P119" s="5"/>
    </row>
    <row r="120" spans="16:16" x14ac:dyDescent="0.25">
      <c r="P120" s="5"/>
    </row>
    <row r="121" spans="16:16" x14ac:dyDescent="0.25">
      <c r="P121" s="5"/>
    </row>
    <row r="122" spans="16:16" x14ac:dyDescent="0.25">
      <c r="P122" s="5"/>
    </row>
    <row r="123" spans="16:16" x14ac:dyDescent="0.25">
      <c r="P123" s="5"/>
    </row>
    <row r="124" spans="16:16" x14ac:dyDescent="0.25">
      <c r="P124" s="5"/>
    </row>
    <row r="125" spans="16:16" x14ac:dyDescent="0.25">
      <c r="P125" s="5"/>
    </row>
    <row r="126" spans="16:16" x14ac:dyDescent="0.25">
      <c r="P126" s="5"/>
    </row>
    <row r="127" spans="16:16" x14ac:dyDescent="0.25">
      <c r="P127" s="5"/>
    </row>
    <row r="128" spans="16:16" x14ac:dyDescent="0.25">
      <c r="P128" s="5"/>
    </row>
    <row r="129" spans="16:16" x14ac:dyDescent="0.25">
      <c r="P129" s="5"/>
    </row>
  </sheetData>
  <mergeCells count="3">
    <mergeCell ref="A1:O1"/>
    <mergeCell ref="C5:C6"/>
    <mergeCell ref="A5:B6"/>
  </mergeCells>
  <conditionalFormatting sqref="P5:P129">
    <cfRule type="cellIs" dxfId="215" priority="89" operator="lessThan">
      <formula>0</formula>
    </cfRule>
    <cfRule type="cellIs" dxfId="214" priority="90" operator="greaterThan">
      <formula>0</formula>
    </cfRule>
  </conditionalFormatting>
  <conditionalFormatting sqref="M5:M23">
    <cfRule type="cellIs" dxfId="213" priority="75" operator="lessThan">
      <formula>0</formula>
    </cfRule>
    <cfRule type="cellIs" dxfId="212" priority="76" operator="greaterThan">
      <formula>0</formula>
    </cfRule>
  </conditionalFormatting>
  <conditionalFormatting sqref="L5:L23">
    <cfRule type="cellIs" dxfId="211" priority="59" operator="lessThan">
      <formula>0</formula>
    </cfRule>
    <cfRule type="cellIs" dxfId="210" priority="60" operator="greaterThan">
      <formula>0</formula>
    </cfRule>
  </conditionalFormatting>
  <conditionalFormatting sqref="N5:N23">
    <cfRule type="cellIs" dxfId="209" priority="51" operator="lessThan">
      <formula>0</formula>
    </cfRule>
    <cfRule type="cellIs" dxfId="208" priority="52" operator="greaterThan">
      <formula>0</formula>
    </cfRule>
  </conditionalFormatting>
  <conditionalFormatting sqref="O5:O23">
    <cfRule type="cellIs" dxfId="207" priority="61" operator="lessThan">
      <formula>0</formula>
    </cfRule>
    <cfRule type="cellIs" dxfId="206" priority="62" operator="greaterThan">
      <formula>0</formula>
    </cfRule>
  </conditionalFormatting>
  <conditionalFormatting sqref="C20:C22">
    <cfRule type="cellIs" dxfId="205" priority="11" operator="lessThan">
      <formula>0</formula>
    </cfRule>
    <cfRule type="cellIs" dxfId="204" priority="12" operator="greaterThan">
      <formula>0</formula>
    </cfRule>
  </conditionalFormatting>
  <conditionalFormatting sqref="B22">
    <cfRule type="cellIs" dxfId="203" priority="17" operator="lessThan">
      <formula>0</formula>
    </cfRule>
    <cfRule type="cellIs" dxfId="202" priority="18" operator="greaterThan">
      <formula>0</formula>
    </cfRule>
  </conditionalFormatting>
  <conditionalFormatting sqref="B17:C19">
    <cfRule type="cellIs" dxfId="201" priority="15" operator="lessThan">
      <formula>0</formula>
    </cfRule>
    <cfRule type="cellIs" dxfId="200" priority="16" operator="greaterThan">
      <formula>0</formula>
    </cfRule>
  </conditionalFormatting>
  <conditionalFormatting sqref="B10">
    <cfRule type="cellIs" dxfId="199" priority="21" operator="lessThan">
      <formula>0</formula>
    </cfRule>
    <cfRule type="cellIs" dxfId="198" priority="22" operator="greaterThan">
      <formula>0</formula>
    </cfRule>
  </conditionalFormatting>
  <conditionalFormatting sqref="B21">
    <cfRule type="cellIs" dxfId="197" priority="19" operator="lessThan">
      <formula>0</formula>
    </cfRule>
    <cfRule type="cellIs" dxfId="196" priority="20" operator="greaterThan">
      <formula>0</formula>
    </cfRule>
  </conditionalFormatting>
  <conditionalFormatting sqref="C20:C22">
    <cfRule type="cellIs" dxfId="195" priority="13" operator="lessThan">
      <formula>0</formula>
    </cfRule>
    <cfRule type="cellIs" dxfId="194" priority="14" operator="greaterThan">
      <formula>0</formula>
    </cfRule>
  </conditionalFormatting>
  <conditionalFormatting sqref="C9:D11 B20">
    <cfRule type="cellIs" dxfId="193" priority="27" operator="lessThan">
      <formula>0</formula>
    </cfRule>
    <cfRule type="cellIs" dxfId="192" priority="28" operator="greaterThan">
      <formula>0</formula>
    </cfRule>
  </conditionalFormatting>
  <conditionalFormatting sqref="B9">
    <cfRule type="cellIs" dxfId="191" priority="25" operator="lessThan">
      <formula>0</formula>
    </cfRule>
    <cfRule type="cellIs" dxfId="190" priority="26" operator="greaterThan">
      <formula>0</formula>
    </cfRule>
  </conditionalFormatting>
  <conditionalFormatting sqref="B11">
    <cfRule type="cellIs" dxfId="189" priority="23" operator="lessThan">
      <formula>0</formula>
    </cfRule>
    <cfRule type="cellIs" dxfId="188" priority="24" operator="greaterThan">
      <formula>0</formula>
    </cfRule>
  </conditionalFormatting>
  <conditionalFormatting sqref="K5:K23">
    <cfRule type="cellIs" dxfId="187" priority="1" operator="lessThan">
      <formula>0</formula>
    </cfRule>
    <cfRule type="cellIs" dxfId="186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3"/>
  <sheetViews>
    <sheetView zoomScaleNormal="100" workbookViewId="0">
      <pane ySplit="3" topLeftCell="A4" activePane="bottomLeft" state="frozen"/>
      <selection pane="bottomLeft" activeCell="L38" sqref="L38"/>
    </sheetView>
  </sheetViews>
  <sheetFormatPr baseColWidth="10" defaultRowHeight="15" x14ac:dyDescent="0.25"/>
  <cols>
    <col min="2" max="2" width="12.140625" bestFit="1" customWidth="1"/>
    <col min="4" max="4" width="4.28515625" bestFit="1" customWidth="1"/>
    <col min="5" max="5" width="0.42578125" customWidth="1"/>
    <col min="6" max="6" width="4.28515625" bestFit="1" customWidth="1"/>
    <col min="7" max="7" width="12.7109375" customWidth="1"/>
    <col min="8" max="8" width="12.42578125" style="1" bestFit="1" customWidth="1"/>
    <col min="9" max="9" width="6" bestFit="1" customWidth="1"/>
    <col min="10" max="10" width="12.7109375" style="1" bestFit="1" customWidth="1"/>
    <col min="11" max="11" width="12.7109375" style="1" customWidth="1"/>
    <col min="12" max="12" width="9.5703125" bestFit="1" customWidth="1"/>
    <col min="13" max="13" width="9.5703125" customWidth="1"/>
    <col min="14" max="14" width="12" style="3" customWidth="1"/>
    <col min="15" max="15" width="9" style="3" customWidth="1"/>
    <col min="16" max="16" width="10.140625" style="3" customWidth="1"/>
    <col min="18" max="18" width="12.42578125" customWidth="1"/>
    <col min="19" max="19" width="11.85546875" customWidth="1"/>
    <col min="20" max="20" width="12.28515625" customWidth="1"/>
  </cols>
  <sheetData>
    <row r="1" spans="1:18" ht="15.75" x14ac:dyDescent="0.25">
      <c r="A1" s="60" t="str">
        <f ca="1">MID(CELL("nomfichier"),FIND("]",CELL("nomfichier"))+1,20)</f>
        <v>20 JUIN 2016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/>
    </row>
    <row r="2" spans="1:18" ht="4.5" customHeight="1" x14ac:dyDescent="0.25"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8" x14ac:dyDescent="0.25">
      <c r="F3" s="22" t="s">
        <v>13</v>
      </c>
      <c r="G3" s="22" t="s">
        <v>0</v>
      </c>
      <c r="H3" s="22" t="s">
        <v>1</v>
      </c>
      <c r="I3" s="22" t="s">
        <v>25</v>
      </c>
      <c r="J3" s="22" t="s">
        <v>2</v>
      </c>
      <c r="K3" s="22" t="s">
        <v>8</v>
      </c>
      <c r="L3" s="22" t="s">
        <v>3</v>
      </c>
      <c r="M3" s="22" t="s">
        <v>14</v>
      </c>
      <c r="N3" s="22" t="s">
        <v>5</v>
      </c>
      <c r="O3" s="22" t="s">
        <v>24</v>
      </c>
    </row>
    <row r="4" spans="1:18" s="10" customFormat="1" ht="15.75" hidden="1" x14ac:dyDescent="0.25">
      <c r="B4" s="31"/>
      <c r="C4" s="31"/>
      <c r="D4" s="31"/>
      <c r="E4" s="31"/>
      <c r="F4" s="31"/>
      <c r="G4" s="31"/>
      <c r="H4" s="31"/>
      <c r="I4" s="31"/>
      <c r="J4" s="31"/>
      <c r="K4" s="31"/>
      <c r="L4" s="31">
        <f>IF($I4&lt;0,$H4-$J4,$J4-$H4)</f>
        <v>0</v>
      </c>
      <c r="M4" s="31">
        <v>0</v>
      </c>
      <c r="N4" s="31">
        <v>0</v>
      </c>
      <c r="O4" s="31">
        <v>0</v>
      </c>
      <c r="P4" s="31"/>
    </row>
    <row r="5" spans="1:18" ht="15" customHeight="1" x14ac:dyDescent="0.25">
      <c r="A5" s="62">
        <f>MAX(carnet2['#])</f>
        <v>0</v>
      </c>
      <c r="B5" s="62"/>
      <c r="C5" s="61" t="s">
        <v>15</v>
      </c>
      <c r="F5" s="6"/>
      <c r="H5"/>
      <c r="J5"/>
      <c r="K5" s="36"/>
      <c r="L5" s="56">
        <f>IF(carnet2[[#This Row],['#]]&lt;&gt;"",IF(carnet2[[#This Row],[Lot]]&lt;0,carnet2[[#This Row],[Ouverture]]-carnet2[[#This Row],[Fermeture]],carnet2[[#This Row],[Fermeture]]-carnet2[[#This Row],[Ouverture]]),0)</f>
        <v>0</v>
      </c>
      <c r="M5" s="7">
        <f>M4+carnet2[Dif]</f>
        <v>0</v>
      </c>
      <c r="N5" s="36">
        <f>N4+carnet2[[#This Row],[Gain]]</f>
        <v>0</v>
      </c>
      <c r="O5" s="34">
        <f>IF(carnet2[[#This Row],['#]]&lt;&gt;0,IF(OR(carnet2[[#This Row],[Dif]]&gt;0,carnet2[[#This Row],[Dif]]=0),IF(OR($L4&gt;0,$L4=0),O4+1,1),IF($L4&lt;0,O4-1,-1)),0)</f>
        <v>0</v>
      </c>
      <c r="P5" s="5"/>
    </row>
    <row r="6" spans="1:18" ht="15" customHeight="1" x14ac:dyDescent="0.25">
      <c r="A6" s="62"/>
      <c r="B6" s="62"/>
      <c r="C6" s="61"/>
      <c r="F6" s="6"/>
      <c r="H6"/>
      <c r="J6"/>
      <c r="K6" s="36"/>
      <c r="L6" s="56">
        <f>IF(carnet2[[#This Row],['#]]&lt;&gt;"",IF(carnet2[[#This Row],[Lot]]&lt;0,carnet2[[#This Row],[Ouverture]]-carnet2[[#This Row],[Fermeture]],carnet2[[#This Row],[Fermeture]]-carnet2[[#This Row],[Ouverture]]),0)</f>
        <v>0</v>
      </c>
      <c r="M6" s="7">
        <f>M5+carnet2[Dif]</f>
        <v>0</v>
      </c>
      <c r="N6" s="36">
        <f>N5+carnet2[[#This Row],[Gain]]</f>
        <v>0</v>
      </c>
      <c r="O6" s="34">
        <f>IF(carnet2[[#This Row],['#]]&lt;&gt;0,IF(OR(carnet2[[#This Row],[Dif]]&gt;0,carnet2[[#This Row],[Dif]]=0),IF(OR($L5&gt;0,$L5=0),O5+1,1),IF($L5&lt;0,O5-1,-1)),0)</f>
        <v>0</v>
      </c>
      <c r="P6" s="5"/>
    </row>
    <row r="7" spans="1:18" x14ac:dyDescent="0.25">
      <c r="F7" s="6"/>
      <c r="H7"/>
      <c r="J7"/>
      <c r="K7" s="36"/>
      <c r="L7" s="56">
        <f>IF(carnet2[[#This Row],['#]]&lt;&gt;"",IF(carnet2[[#This Row],[Lot]]&lt;0,carnet2[[#This Row],[Ouverture]]-carnet2[[#This Row],[Fermeture]],carnet2[[#This Row],[Fermeture]]-carnet2[[#This Row],[Ouverture]]),0)</f>
        <v>0</v>
      </c>
      <c r="M7" s="7">
        <f>M6+carnet2[Dif]</f>
        <v>0</v>
      </c>
      <c r="N7" s="36">
        <f>N6+carnet2[[#This Row],[Gain]]</f>
        <v>0</v>
      </c>
      <c r="O7" s="34">
        <f>IF(carnet2[[#This Row],['#]]&lt;&gt;0,IF(OR(carnet2[[#This Row],[Dif]]&gt;0,carnet2[[#This Row],[Dif]]=0),IF(OR($L6&gt;0,$L6=0),O6+1,1),IF($L6&lt;0,O6-1,-1)),0)</f>
        <v>0</v>
      </c>
      <c r="P7" s="5"/>
    </row>
    <row r="8" spans="1:18" ht="15.75" x14ac:dyDescent="0.25">
      <c r="A8" s="54" t="s">
        <v>21</v>
      </c>
      <c r="B8" s="24" t="s">
        <v>20</v>
      </c>
      <c r="C8" s="24" t="s">
        <v>14</v>
      </c>
      <c r="D8" s="21"/>
      <c r="F8" s="6"/>
      <c r="H8"/>
      <c r="J8"/>
      <c r="K8" s="36"/>
      <c r="L8" s="56">
        <f>IF(carnet2[[#This Row],['#]]&lt;&gt;"",IF(carnet2[[#This Row],[Lot]]&lt;0,carnet2[[#This Row],[Ouverture]]-carnet2[[#This Row],[Fermeture]],carnet2[[#This Row],[Fermeture]]-carnet2[[#This Row],[Ouverture]]),0)</f>
        <v>0</v>
      </c>
      <c r="M8" s="7">
        <f>M7+carnet2[Dif]</f>
        <v>0</v>
      </c>
      <c r="N8" s="36">
        <f>N7+carnet2[[#This Row],[Gain]]</f>
        <v>0</v>
      </c>
      <c r="O8" s="34">
        <f>IF(carnet2[[#This Row],['#]]&lt;&gt;0,IF(OR(carnet2[[#This Row],[Dif]]&gt;0,carnet2[[#This Row],[Dif]]=0),IF(OR($L7&gt;0,$L7=0),O7+1,1),IF($L7&lt;0,O7-1,-1)),0)</f>
        <v>0</v>
      </c>
      <c r="P8" s="5"/>
    </row>
    <row r="9" spans="1:18" x14ac:dyDescent="0.25">
      <c r="A9" s="23" t="s">
        <v>6</v>
      </c>
      <c r="B9" s="14">
        <f>_xlfn.MINIFS(carnet2[Capital],carnet2[Capital],"&lt;&gt;0")</f>
        <v>0</v>
      </c>
      <c r="C9" s="15">
        <f>_xlfn.MINIFS(carnet2[Pts],carnet2[Pts],"&lt;&gt;0")</f>
        <v>0</v>
      </c>
      <c r="D9" s="11"/>
      <c r="F9" s="6"/>
      <c r="H9"/>
      <c r="J9"/>
      <c r="K9" s="36"/>
      <c r="L9" s="56">
        <f>IF(carnet2[[#This Row],['#]]&lt;&gt;"",IF(carnet2[[#This Row],[Lot]]&lt;0,carnet2[[#This Row],[Ouverture]]-carnet2[[#This Row],[Fermeture]],carnet2[[#This Row],[Fermeture]]-carnet2[[#This Row],[Ouverture]]),0)</f>
        <v>0</v>
      </c>
      <c r="M9" s="7">
        <f>M8+carnet2[Dif]</f>
        <v>0</v>
      </c>
      <c r="N9" s="36">
        <f>N8+carnet2[[#This Row],[Gain]]</f>
        <v>0</v>
      </c>
      <c r="O9" s="34">
        <f>IF(carnet2[[#This Row],['#]]&lt;&gt;0,IF(OR(carnet2[[#This Row],[Dif]]&gt;0,carnet2[[#This Row],[Dif]]=0),IF(OR($L8&gt;0,$L8=0),O8+1,1),IF($L8&lt;0,O8-1,-1)),0)</f>
        <v>0</v>
      </c>
      <c r="P9" s="5"/>
    </row>
    <row r="10" spans="1:18" ht="15.75" x14ac:dyDescent="0.25">
      <c r="A10" s="23" t="s">
        <v>4</v>
      </c>
      <c r="B10" s="13">
        <f>SUM(carnet2[Gain])</f>
        <v>0</v>
      </c>
      <c r="C10" s="8">
        <f>SUM(carnet2[Dif])</f>
        <v>0</v>
      </c>
      <c r="D10" s="12"/>
      <c r="F10" s="6"/>
      <c r="H10"/>
      <c r="J10"/>
      <c r="K10" s="36"/>
      <c r="L10" s="56">
        <f>IF(carnet2[[#This Row],['#]]&lt;&gt;"",IF(carnet2[[#This Row],[Lot]]&lt;0,carnet2[[#This Row],[Ouverture]]-carnet2[[#This Row],[Fermeture]],carnet2[[#This Row],[Fermeture]]-carnet2[[#This Row],[Ouverture]]),0)</f>
        <v>0</v>
      </c>
      <c r="M10" s="7">
        <f>M9+carnet2[Dif]</f>
        <v>0</v>
      </c>
      <c r="N10" s="36">
        <f>N9+carnet2[[#This Row],[Gain]]</f>
        <v>0</v>
      </c>
      <c r="O10" s="34">
        <f>IF(carnet2[[#This Row],['#]]&lt;&gt;0,IF(OR(carnet2[[#This Row],[Dif]]&gt;0,carnet2[[#This Row],[Dif]]=0),IF(OR($L9&gt;0,$L9=0),O9+1,1),IF($L9&lt;0,O9-1,-1)),0)</f>
        <v>0</v>
      </c>
      <c r="P10" s="5"/>
    </row>
    <row r="11" spans="1:18" x14ac:dyDescent="0.25">
      <c r="A11" s="23" t="s">
        <v>7</v>
      </c>
      <c r="B11" s="16">
        <f>_xlfn.MAXIFS(carnet2[Capital],carnet2[Capital],"&lt;&gt;0")</f>
        <v>0</v>
      </c>
      <c r="C11" s="17">
        <f>_xlfn.MAXIFS(carnet2[Pts],carnet2[Pts],"&lt;&gt;0")</f>
        <v>0</v>
      </c>
      <c r="D11" s="11"/>
      <c r="F11" s="6"/>
      <c r="H11"/>
      <c r="J11"/>
      <c r="K11" s="36"/>
      <c r="L11" s="56">
        <f>IF(carnet2[[#This Row],['#]]&lt;&gt;"",IF(carnet2[[#This Row],[Lot]]&lt;0,carnet2[[#This Row],[Ouverture]]-carnet2[[#This Row],[Fermeture]],carnet2[[#This Row],[Fermeture]]-carnet2[[#This Row],[Ouverture]]),0)</f>
        <v>0</v>
      </c>
      <c r="M11" s="7">
        <f>M10+carnet2[Dif]</f>
        <v>0</v>
      </c>
      <c r="N11" s="36">
        <f>N10+carnet2[[#This Row],[Gain]]</f>
        <v>0</v>
      </c>
      <c r="O11" s="34">
        <f>IF(carnet2[[#This Row],['#]]&lt;&gt;0,IF(OR(carnet2[[#This Row],[Dif]]&gt;0,carnet2[[#This Row],[Dif]]=0),IF(OR($L10&gt;0,$L10=0),O10+1,1),IF($L10&lt;0,O10-1,-1)),0)</f>
        <v>0</v>
      </c>
      <c r="P11" s="5"/>
    </row>
    <row r="12" spans="1:18" x14ac:dyDescent="0.25">
      <c r="F12" s="6"/>
      <c r="H12"/>
      <c r="J12"/>
      <c r="K12" s="36"/>
      <c r="L12" s="56">
        <f>IF(carnet2[[#This Row],['#]]&lt;&gt;"",IF(carnet2[[#This Row],[Lot]]&lt;0,carnet2[[#This Row],[Ouverture]]-carnet2[[#This Row],[Fermeture]],carnet2[[#This Row],[Fermeture]]-carnet2[[#This Row],[Ouverture]]),0)</f>
        <v>0</v>
      </c>
      <c r="M12" s="7">
        <f>M11+carnet2[Dif]</f>
        <v>0</v>
      </c>
      <c r="N12" s="36">
        <f>N11+carnet2[[#This Row],[Gain]]</f>
        <v>0</v>
      </c>
      <c r="O12" s="34">
        <f>IF(carnet2[[#This Row],['#]]&lt;&gt;0,IF(OR(carnet2[[#This Row],[Dif]]&gt;0,carnet2[[#This Row],[Dif]]=0),IF(OR($L11&gt;0,$L11=0),O11+1,1),IF($L11&lt;0,O11-1,-1)),0)</f>
        <v>0</v>
      </c>
      <c r="P12" s="5"/>
    </row>
    <row r="13" spans="1:18" ht="15.75" x14ac:dyDescent="0.25">
      <c r="A13" s="54" t="s">
        <v>15</v>
      </c>
      <c r="B13" s="24" t="s">
        <v>19</v>
      </c>
      <c r="C13" s="24" t="s">
        <v>18</v>
      </c>
      <c r="D13" s="28" t="s">
        <v>17</v>
      </c>
      <c r="F13" s="6"/>
      <c r="H13"/>
      <c r="J13"/>
      <c r="K13" s="36"/>
      <c r="L13" s="56">
        <f>IF(carnet2[[#This Row],['#]]&lt;&gt;"",IF(carnet2[[#This Row],[Lot]]&lt;0,carnet2[[#This Row],[Ouverture]]-carnet2[[#This Row],[Fermeture]],carnet2[[#This Row],[Fermeture]]-carnet2[[#This Row],[Ouverture]]),0)</f>
        <v>0</v>
      </c>
      <c r="M13" s="7">
        <f>M12+carnet2[Dif]</f>
        <v>0</v>
      </c>
      <c r="N13" s="36">
        <f>N12+carnet2[[#This Row],[Gain]]</f>
        <v>0</v>
      </c>
      <c r="O13" s="34">
        <f>IF(carnet2[[#This Row],['#]]&lt;&gt;0,IF(OR(carnet2[[#This Row],[Dif]]&gt;0,carnet2[[#This Row],[Dif]]=0),IF(OR($L12&gt;0,$L12=0),O12+1,1),IF($L12&lt;0,O12-1,-1)),0)</f>
        <v>0</v>
      </c>
      <c r="P13" s="5"/>
    </row>
    <row r="14" spans="1:18" x14ac:dyDescent="0.25">
      <c r="A14" s="23" t="s">
        <v>9</v>
      </c>
      <c r="B14" s="18">
        <f>COUNTIF(carnet2[Dif],"&gt;0")</f>
        <v>0</v>
      </c>
      <c r="C14" s="25">
        <f>COUNTIF(carnet2[Dif],"&lt;0")</f>
        <v>0</v>
      </c>
      <c r="D14" s="29">
        <f>IF($A$5&lt;&gt;0,COUNTIF(carnet2[Dif],"=0,0"),0)</f>
        <v>0</v>
      </c>
      <c r="F14" s="6"/>
      <c r="H14"/>
      <c r="J14"/>
      <c r="K14" s="36"/>
      <c r="L14" s="56">
        <f>IF(carnet2[[#This Row],['#]]&lt;&gt;"",IF(carnet2[[#This Row],[Lot]]&lt;0,carnet2[[#This Row],[Ouverture]]-carnet2[[#This Row],[Fermeture]],carnet2[[#This Row],[Fermeture]]-carnet2[[#This Row],[Ouverture]]),0)</f>
        <v>0</v>
      </c>
      <c r="M14" s="7">
        <f>M13+carnet2[Dif]</f>
        <v>0</v>
      </c>
      <c r="N14" s="36">
        <f>N13+carnet2[[#This Row],[Gain]]</f>
        <v>0</v>
      </c>
      <c r="O14" s="34">
        <f>IF(carnet2[[#This Row],['#]]&lt;&gt;0,IF(OR(carnet2[[#This Row],[Dif]]&gt;0,carnet2[[#This Row],[Dif]]=0),IF(OR($L13&gt;0,$L13=0),O13+1,1),IF($L13&lt;0,O13-1,-1)),0)</f>
        <v>0</v>
      </c>
      <c r="P14" s="5"/>
    </row>
    <row r="15" spans="1:18" ht="15.75" x14ac:dyDescent="0.25">
      <c r="A15" s="23" t="s">
        <v>10</v>
      </c>
      <c r="B15" s="19">
        <f>IF($A$5&lt;&gt;0,B14/$A$5,0)</f>
        <v>0</v>
      </c>
      <c r="C15" s="26">
        <f>IF($A$5&lt;&gt;0,C14/$A$5,0)</f>
        <v>0</v>
      </c>
      <c r="D15" s="30">
        <f>IF($A$5&lt;&gt;0,D14/$A$5,0)</f>
        <v>0</v>
      </c>
      <c r="F15" s="6"/>
      <c r="H15"/>
      <c r="J15"/>
      <c r="K15" s="36"/>
      <c r="L15" s="56">
        <f>IF(carnet2[[#This Row],['#]]&lt;&gt;"",IF(carnet2[[#This Row],[Lot]]&lt;0,carnet2[[#This Row],[Ouverture]]-carnet2[[#This Row],[Fermeture]],carnet2[[#This Row],[Fermeture]]-carnet2[[#This Row],[Ouverture]]),0)</f>
        <v>0</v>
      </c>
      <c r="M15" s="7">
        <f>M14+carnet2[Dif]</f>
        <v>0</v>
      </c>
      <c r="N15" s="36">
        <f>N14+carnet2[[#This Row],[Gain]]</f>
        <v>0</v>
      </c>
      <c r="O15" s="34">
        <f>IF(carnet2[[#This Row],['#]]&lt;&gt;0,IF(OR(carnet2[[#This Row],[Dif]]&gt;0,carnet2[[#This Row],[Dif]]=0),IF(OR($L14&gt;0,$L14=0),O14+1,1),IF($L14&lt;0,O14-1,-1)),0)</f>
        <v>0</v>
      </c>
      <c r="P15" s="5"/>
      <c r="R15" s="4"/>
    </row>
    <row r="16" spans="1:18" x14ac:dyDescent="0.25">
      <c r="A16" s="23" t="s">
        <v>24</v>
      </c>
      <c r="B16" s="20">
        <f>MAX(carnet2[Série])</f>
        <v>0</v>
      </c>
      <c r="C16" s="27">
        <f>ABS(MIN(carnet2[Série]))</f>
        <v>0</v>
      </c>
      <c r="D16" s="29"/>
      <c r="F16" s="6"/>
      <c r="H16"/>
      <c r="J16"/>
      <c r="K16" s="36"/>
      <c r="L16" s="56">
        <f>IF(carnet2[[#This Row],['#]]&lt;&gt;"",IF(carnet2[[#This Row],[Lot]]&lt;0,carnet2[[#This Row],[Ouverture]]-carnet2[[#This Row],[Fermeture]],carnet2[[#This Row],[Fermeture]]-carnet2[[#This Row],[Ouverture]]),0)</f>
        <v>0</v>
      </c>
      <c r="M16" s="7">
        <f>M15+carnet2[Dif]</f>
        <v>0</v>
      </c>
      <c r="N16" s="36">
        <f>N15+carnet2[[#This Row],[Gain]]</f>
        <v>0</v>
      </c>
      <c r="O16" s="34">
        <f>IF(carnet2[[#This Row],['#]]&lt;&gt;0,IF(OR(carnet2[[#This Row],[Dif]]&gt;0,carnet2[[#This Row],[Dif]]=0),IF(OR($L15&gt;0,$L15=0),O15+1,1),IF($L15&lt;0,O15-1,-1)),0)</f>
        <v>0</v>
      </c>
      <c r="P16" s="5"/>
    </row>
    <row r="17" spans="1:18" x14ac:dyDescent="0.25">
      <c r="A17" s="23" t="s">
        <v>11</v>
      </c>
      <c r="B17" s="37">
        <f>IF(A5&lt;&gt;0,AVERAGEIF(carnet2[Dif],"&gt;0",carnet2[Gain]),0)</f>
        <v>0</v>
      </c>
      <c r="C17" s="37">
        <f>IF(MIN(carnet2[Dif])&lt;0,IF(A5&lt;&gt;0,AVERAGEIF(carnet2[Dif],"&lt;0",carnet2[Gain]),0),0)</f>
        <v>0</v>
      </c>
      <c r="D17" s="29"/>
      <c r="F17" s="6"/>
      <c r="H17"/>
      <c r="J17"/>
      <c r="K17" s="36"/>
      <c r="L17" s="56">
        <f>IF(carnet2[[#This Row],['#]]&lt;&gt;"",IF(carnet2[[#This Row],[Lot]]&lt;0,carnet2[[#This Row],[Ouverture]]-carnet2[[#This Row],[Fermeture]],carnet2[[#This Row],[Fermeture]]-carnet2[[#This Row],[Ouverture]]),0)</f>
        <v>0</v>
      </c>
      <c r="M17" s="7">
        <f>M16+carnet2[Dif]</f>
        <v>0</v>
      </c>
      <c r="N17" s="36">
        <f>N16+carnet2[[#This Row],[Gain]]</f>
        <v>0</v>
      </c>
      <c r="O17" s="34">
        <f>IF(carnet2[[#This Row],['#]]&lt;&gt;0,IF(OR(carnet2[[#This Row],[Dif]]&gt;0,carnet2[[#This Row],[Dif]]=0),IF(OR($L16&gt;0,$L16=0),O16+1,1),IF($L16&lt;0,O16-1,-1)),0)</f>
        <v>0</v>
      </c>
      <c r="P17" s="5"/>
    </row>
    <row r="18" spans="1:18" x14ac:dyDescent="0.25">
      <c r="A18" s="23" t="s">
        <v>16</v>
      </c>
      <c r="B18" s="37">
        <f>_xlfn.MAXIFS(carnet2[Gain],carnet2[Gain],"&gt;0")</f>
        <v>0</v>
      </c>
      <c r="C18" s="37">
        <f>_xlfn.MINIFS(carnet2[Gain],carnet2[Gain],"&lt;0")</f>
        <v>0</v>
      </c>
      <c r="D18" s="29"/>
      <c r="F18" s="6"/>
      <c r="H18"/>
      <c r="J18"/>
      <c r="K18" s="36"/>
      <c r="L18" s="56">
        <f>IF(carnet2[[#This Row],['#]]&lt;&gt;"",IF(carnet2[[#This Row],[Lot]]&lt;0,carnet2[[#This Row],[Ouverture]]-carnet2[[#This Row],[Fermeture]],carnet2[[#This Row],[Fermeture]]-carnet2[[#This Row],[Ouverture]]),0)</f>
        <v>0</v>
      </c>
      <c r="M18" s="7">
        <f>M17+carnet2[Dif]</f>
        <v>0</v>
      </c>
      <c r="N18" s="36">
        <f>N17+carnet2[[#This Row],[Gain]]</f>
        <v>0</v>
      </c>
      <c r="O18" s="34">
        <f>IF(carnet2[[#This Row],['#]]&lt;&gt;0,IF(OR(carnet2[[#This Row],[Dif]]&gt;0,carnet2[[#This Row],[Dif]]=0),IF(OR($L17&gt;0,$L17=0),O17+1,1),IF($L17&lt;0,O17-1,-1)),0)</f>
        <v>0</v>
      </c>
      <c r="P18" s="5"/>
    </row>
    <row r="19" spans="1:18" x14ac:dyDescent="0.25">
      <c r="A19" s="32" t="s">
        <v>12</v>
      </c>
      <c r="B19" s="37">
        <f>SUMIF(carnet2[Gain],"&gt;0",carnet2[Gain])</f>
        <v>0</v>
      </c>
      <c r="C19" s="37">
        <f>SUMIF(carnet2[Gain],"&lt;0",carnet2[Gain])</f>
        <v>0</v>
      </c>
      <c r="D19" s="29"/>
      <c r="F19" s="6"/>
      <c r="H19"/>
      <c r="J19"/>
      <c r="K19" s="36"/>
      <c r="L19" s="56">
        <f>IF(carnet2[[#This Row],['#]]&lt;&gt;"",IF(carnet2[[#This Row],[Lot]]&lt;0,carnet2[[#This Row],[Ouverture]]-carnet2[[#This Row],[Fermeture]],carnet2[[#This Row],[Fermeture]]-carnet2[[#This Row],[Ouverture]]),0)</f>
        <v>0</v>
      </c>
      <c r="M19" s="7">
        <f>M18+carnet2[Dif]</f>
        <v>0</v>
      </c>
      <c r="N19" s="36">
        <f>N18+carnet2[[#This Row],[Gain]]</f>
        <v>0</v>
      </c>
      <c r="O19" s="34">
        <f>IF(carnet2[[#This Row],['#]]&lt;&gt;0,IF(OR(carnet2[[#This Row],[Dif]]&gt;0,carnet2[[#This Row],[Dif]]=0),IF(OR($L18&gt;0,$L18=0),O18+1,1),IF($L18&lt;0,O18-1,-1)),0)</f>
        <v>0</v>
      </c>
      <c r="P19" s="5"/>
    </row>
    <row r="20" spans="1:18" x14ac:dyDescent="0.25">
      <c r="A20" s="23" t="s">
        <v>23</v>
      </c>
      <c r="B20" s="33">
        <f>IF(A5&lt;&gt;0,AVERAGEIF(carnet2[Dif],"&gt;0",carnet2[Dif]),0)</f>
        <v>0</v>
      </c>
      <c r="C20" s="40">
        <f>IF(A5&lt;&gt;0,AVERAGEIF(carnet2[Dif],"&lt;0",carnet2[Dif]),0)</f>
        <v>0</v>
      </c>
      <c r="D20" s="29"/>
      <c r="F20" s="6"/>
      <c r="H20"/>
      <c r="J20"/>
      <c r="K20" s="36"/>
      <c r="L20" s="56">
        <f>IF(carnet2[[#This Row],['#]]&lt;&gt;"",IF(carnet2[[#This Row],[Lot]]&lt;0,carnet2[[#This Row],[Ouverture]]-carnet2[[#This Row],[Fermeture]],carnet2[[#This Row],[Fermeture]]-carnet2[[#This Row],[Ouverture]]),0)</f>
        <v>0</v>
      </c>
      <c r="M20" s="7">
        <f>M19+carnet2[Dif]</f>
        <v>0</v>
      </c>
      <c r="N20" s="36">
        <f>N19+carnet2[[#This Row],[Gain]]</f>
        <v>0</v>
      </c>
      <c r="O20" s="34">
        <f>IF(carnet2[[#This Row],['#]]&lt;&gt;0,IF(OR(carnet2[[#This Row],[Dif]]&gt;0,carnet2[[#This Row],[Dif]]=0),IF(OR($L19&gt;0,$L19=0),O19+1,1),IF($L19&lt;0,O19-1,-1)),0)</f>
        <v>0</v>
      </c>
      <c r="P20" s="5"/>
    </row>
    <row r="21" spans="1:18" x14ac:dyDescent="0.25">
      <c r="A21" s="32" t="s">
        <v>22</v>
      </c>
      <c r="B21" s="33">
        <f>_xlfn.MAXIFS(carnet2[Dif],carnet2[Dif],"&gt;0")</f>
        <v>0</v>
      </c>
      <c r="C21" s="40">
        <f>_xlfn.MINIFS(carnet2[Dif],carnet2[Dif],"&lt;0")</f>
        <v>0</v>
      </c>
      <c r="D21" s="29"/>
      <c r="F21" s="6"/>
      <c r="H21"/>
      <c r="J21"/>
      <c r="K21" s="36"/>
      <c r="L21" s="56">
        <f>IF(carnet2[[#This Row],['#]]&lt;&gt;"",IF(carnet2[[#This Row],[Lot]]&lt;0,carnet2[[#This Row],[Ouverture]]-carnet2[[#This Row],[Fermeture]],carnet2[[#This Row],[Fermeture]]-carnet2[[#This Row],[Ouverture]]),0)</f>
        <v>0</v>
      </c>
      <c r="M21" s="7">
        <f>M20+carnet2[Dif]</f>
        <v>0</v>
      </c>
      <c r="N21" s="36">
        <f>N20+carnet2[[#This Row],[Gain]]</f>
        <v>0</v>
      </c>
      <c r="O21" s="34">
        <f>IF(carnet2[[#This Row],['#]]&lt;&gt;0,IF(OR(carnet2[[#This Row],[Dif]]&gt;0,carnet2[[#This Row],[Dif]]=0),IF(OR($L20&gt;0,$L20=0),O20+1,1),IF($L20&lt;0,O20-1,-1)),0)</f>
        <v>0</v>
      </c>
      <c r="P21" s="5"/>
    </row>
    <row r="22" spans="1:18" x14ac:dyDescent="0.25">
      <c r="A22" s="32" t="s">
        <v>26</v>
      </c>
      <c r="B22" s="33">
        <f>SUMIF(carnet2[Dif],"&gt;0",carnet2[Dif])</f>
        <v>0</v>
      </c>
      <c r="C22" s="40">
        <f>SUMIF(carnet2[Dif],"&lt;0",carnet2[Dif])</f>
        <v>0</v>
      </c>
      <c r="D22" s="29"/>
      <c r="F22" s="6"/>
      <c r="H22"/>
      <c r="J22"/>
      <c r="K22" s="36"/>
      <c r="L22" s="56">
        <f>IF(carnet2[[#This Row],['#]]&lt;&gt;"",IF(carnet2[[#This Row],[Lot]]&lt;0,carnet2[[#This Row],[Ouverture]]-carnet2[[#This Row],[Fermeture]],carnet2[[#This Row],[Fermeture]]-carnet2[[#This Row],[Ouverture]]),0)</f>
        <v>0</v>
      </c>
      <c r="M22" s="7">
        <f>M21+carnet2[Dif]</f>
        <v>0</v>
      </c>
      <c r="N22" s="36">
        <f>N21+carnet2[[#This Row],[Gain]]</f>
        <v>0</v>
      </c>
      <c r="O22" s="34">
        <f>IF(carnet2[[#This Row],['#]]&lt;&gt;0,IF(OR(carnet2[[#This Row],[Dif]]&gt;0,carnet2[[#This Row],[Dif]]=0),IF(OR($L21&gt;0,$L21=0),O21+1,1),IF($L21&lt;0,O21-1,-1)),0)</f>
        <v>0</v>
      </c>
      <c r="P22" s="5"/>
    </row>
    <row r="23" spans="1:18" x14ac:dyDescent="0.25">
      <c r="F23" s="6"/>
      <c r="H23"/>
      <c r="J23"/>
      <c r="K23" s="36"/>
      <c r="L23" s="56">
        <f>IF(carnet2[[#This Row],['#]]&lt;&gt;"",IF(carnet2[[#This Row],[Lot]]&lt;0,carnet2[[#This Row],[Ouverture]]-carnet2[[#This Row],[Fermeture]],carnet2[[#This Row],[Fermeture]]-carnet2[[#This Row],[Ouverture]]),0)</f>
        <v>0</v>
      </c>
      <c r="M23" s="7">
        <f>M22+carnet2[Dif]</f>
        <v>0</v>
      </c>
      <c r="N23" s="36">
        <f>N22+carnet2[[#This Row],[Gain]]</f>
        <v>0</v>
      </c>
      <c r="O23" s="34">
        <f>IF(carnet2[[#This Row],['#]]&lt;&gt;0,IF(OR(carnet2[[#This Row],[Dif]]&gt;0,carnet2[[#This Row],[Dif]]=0),IF(OR($L22&gt;0,$L22=0),O22+1,1),IF($L22&lt;0,O22-1,-1)),0)</f>
        <v>0</v>
      </c>
      <c r="P23" s="5"/>
      <c r="R23" s="2"/>
    </row>
    <row r="24" spans="1:18" x14ac:dyDescent="0.25">
      <c r="A24" s="58" t="s">
        <v>33</v>
      </c>
      <c r="B24" s="33" t="e">
        <f>ABS(B19/C19)</f>
        <v>#DIV/0!</v>
      </c>
      <c r="F24" s="6"/>
      <c r="H24"/>
      <c r="J24"/>
      <c r="K24" s="36"/>
      <c r="L24" s="56">
        <f>IF(carnet2[[#This Row],['#]]&lt;&gt;"",IF(carnet2[[#This Row],[Lot]]&lt;0,carnet2[[#This Row],[Ouverture]]-carnet2[[#This Row],[Fermeture]],carnet2[[#This Row],[Fermeture]]-carnet2[[#This Row],[Ouverture]]),0)</f>
        <v>0</v>
      </c>
      <c r="M24" s="7">
        <f>M23+carnet2[Dif]</f>
        <v>0</v>
      </c>
      <c r="N24" s="36">
        <f>N23+carnet2[[#This Row],[Gain]]</f>
        <v>0</v>
      </c>
      <c r="O24" s="34">
        <f>IF(carnet2[[#This Row],['#]]&lt;&gt;0,IF(OR(carnet2[[#This Row],[Dif]]&gt;0,carnet2[[#This Row],[Dif]]=0),IF(OR($L23&gt;0,$L23=0),O23+1,1),IF($L23&lt;0,O23-1,-1)),0)</f>
        <v>0</v>
      </c>
      <c r="P24" s="5"/>
    </row>
    <row r="25" spans="1:18" x14ac:dyDescent="0.25">
      <c r="F25" s="6"/>
      <c r="H25"/>
      <c r="J25"/>
      <c r="K25" s="36"/>
      <c r="L25" s="56">
        <f>IF(carnet2[[#This Row],['#]]&lt;&gt;"",IF(carnet2[[#This Row],[Lot]]&lt;0,carnet2[[#This Row],[Ouverture]]-carnet2[[#This Row],[Fermeture]],carnet2[[#This Row],[Fermeture]]-carnet2[[#This Row],[Ouverture]]),0)</f>
        <v>0</v>
      </c>
      <c r="M25" s="7">
        <f>M24+carnet2[Dif]</f>
        <v>0</v>
      </c>
      <c r="N25" s="36">
        <f>N24+carnet2[[#This Row],[Gain]]</f>
        <v>0</v>
      </c>
      <c r="O25" s="34">
        <f>IF(carnet2[[#This Row],['#]]&lt;&gt;0,IF(OR(carnet2[[#This Row],[Dif]]&gt;0,carnet2[[#This Row],[Dif]]=0),IF(OR($L24&gt;0,$L24=0),O24+1,1),IF($L24&lt;0,O24-1,-1)),0)</f>
        <v>0</v>
      </c>
      <c r="P25" s="5"/>
    </row>
    <row r="26" spans="1:18" x14ac:dyDescent="0.25">
      <c r="F26" s="6"/>
      <c r="H26"/>
      <c r="J26"/>
      <c r="K26" s="36"/>
      <c r="L26" s="56">
        <f>IF(carnet2[[#This Row],['#]]&lt;&gt;"",IF(carnet2[[#This Row],[Lot]]&lt;0,carnet2[[#This Row],[Ouverture]]-carnet2[[#This Row],[Fermeture]],carnet2[[#This Row],[Fermeture]]-carnet2[[#This Row],[Ouverture]]),0)</f>
        <v>0</v>
      </c>
      <c r="M26" s="7">
        <f>M25+carnet2[Dif]</f>
        <v>0</v>
      </c>
      <c r="N26" s="36">
        <f>N25+carnet2[[#This Row],[Gain]]</f>
        <v>0</v>
      </c>
      <c r="O26" s="34">
        <f>IF(carnet2[[#This Row],['#]]&lt;&gt;0,IF(OR(carnet2[[#This Row],[Dif]]&gt;0,carnet2[[#This Row],[Dif]]=0),IF(OR($L25&gt;0,$L25=0),O25+1,1),IF($L25&lt;0,O25-1,-1)),0)</f>
        <v>0</v>
      </c>
      <c r="P26" s="5"/>
      <c r="R26" s="2"/>
    </row>
    <row r="27" spans="1:18" x14ac:dyDescent="0.25">
      <c r="F27" s="6"/>
      <c r="H27"/>
      <c r="J27"/>
      <c r="K27" s="36"/>
      <c r="L27" s="56">
        <f>IF(carnet2[[#This Row],['#]]&lt;&gt;"",IF(carnet2[[#This Row],[Lot]]&lt;0,carnet2[[#This Row],[Ouverture]]-carnet2[[#This Row],[Fermeture]],carnet2[[#This Row],[Fermeture]]-carnet2[[#This Row],[Ouverture]]),0)</f>
        <v>0</v>
      </c>
      <c r="M27" s="7">
        <f>M26+carnet2[Dif]</f>
        <v>0</v>
      </c>
      <c r="N27" s="36">
        <f>N26+carnet2[[#This Row],[Gain]]</f>
        <v>0</v>
      </c>
      <c r="O27" s="34">
        <f>IF(carnet2[[#This Row],['#]]&lt;&gt;0,IF(OR(carnet2[[#This Row],[Dif]]&gt;0,carnet2[[#This Row],[Dif]]=0),IF(OR($L26&gt;0,$L26=0),O26+1,1),IF($L26&lt;0,O26-1,-1)),0)</f>
        <v>0</v>
      </c>
      <c r="P27" s="5"/>
    </row>
    <row r="28" spans="1:18" x14ac:dyDescent="0.25">
      <c r="F28" s="6"/>
      <c r="H28"/>
      <c r="J28"/>
      <c r="K28" s="36"/>
      <c r="L28" s="56">
        <f>IF(carnet2[[#This Row],['#]]&lt;&gt;"",IF(carnet2[[#This Row],[Lot]]&lt;0,carnet2[[#This Row],[Ouverture]]-carnet2[[#This Row],[Fermeture]],carnet2[[#This Row],[Fermeture]]-carnet2[[#This Row],[Ouverture]]),0)</f>
        <v>0</v>
      </c>
      <c r="M28" s="7">
        <f>M27+carnet2[Dif]</f>
        <v>0</v>
      </c>
      <c r="N28" s="36">
        <f>N27+carnet2[[#This Row],[Gain]]</f>
        <v>0</v>
      </c>
      <c r="O28" s="34">
        <f>IF(carnet2[[#This Row],['#]]&lt;&gt;0,IF(OR(carnet2[[#This Row],[Dif]]&gt;0,carnet2[[#This Row],[Dif]]=0),IF(OR($L27&gt;0,$L27=0),O27+1,1),IF($L27&lt;0,O27-1,-1)),0)</f>
        <v>0</v>
      </c>
      <c r="P28" s="5"/>
    </row>
    <row r="29" spans="1:18" x14ac:dyDescent="0.25">
      <c r="F29" s="6"/>
      <c r="H29"/>
      <c r="J29"/>
      <c r="K29" s="36"/>
      <c r="L29" s="56">
        <f>IF(carnet2[[#This Row],['#]]&lt;&gt;"",IF(carnet2[[#This Row],[Lot]]&lt;0,carnet2[[#This Row],[Ouverture]]-carnet2[[#This Row],[Fermeture]],carnet2[[#This Row],[Fermeture]]-carnet2[[#This Row],[Ouverture]]),0)</f>
        <v>0</v>
      </c>
      <c r="M29" s="7">
        <f>M28+carnet2[Dif]</f>
        <v>0</v>
      </c>
      <c r="N29" s="36">
        <f>N28+carnet2[[#This Row],[Gain]]</f>
        <v>0</v>
      </c>
      <c r="O29" s="34">
        <f>IF(carnet2[[#This Row],['#]]&lt;&gt;0,IF(OR(carnet2[[#This Row],[Dif]]&gt;0,carnet2[[#This Row],[Dif]]=0),IF(OR($L28&gt;0,$L28=0),O28+1,1),IF($L28&lt;0,O28-1,-1)),0)</f>
        <v>0</v>
      </c>
      <c r="P29" s="5"/>
    </row>
    <row r="30" spans="1:18" x14ac:dyDescent="0.25">
      <c r="F30" s="6"/>
      <c r="H30"/>
      <c r="J30"/>
      <c r="K30" s="36"/>
      <c r="L30" s="56">
        <f>IF(carnet2[[#This Row],['#]]&lt;&gt;"",IF(carnet2[[#This Row],[Lot]]&lt;0,carnet2[[#This Row],[Ouverture]]-carnet2[[#This Row],[Fermeture]],carnet2[[#This Row],[Fermeture]]-carnet2[[#This Row],[Ouverture]]),0)</f>
        <v>0</v>
      </c>
      <c r="M30" s="7">
        <f>M29+carnet2[Dif]</f>
        <v>0</v>
      </c>
      <c r="N30" s="36">
        <f>N29+carnet2[[#This Row],[Gain]]</f>
        <v>0</v>
      </c>
      <c r="O30" s="34">
        <f>IF(carnet2[[#This Row],['#]]&lt;&gt;0,IF(OR(carnet2[[#This Row],[Dif]]&gt;0,carnet2[[#This Row],[Dif]]=0),IF(OR($L29&gt;0,$L29=0),O29+1,1),IF($L29&lt;0,O29-1,-1)),0)</f>
        <v>0</v>
      </c>
      <c r="P30" s="5"/>
    </row>
    <row r="31" spans="1:18" x14ac:dyDescent="0.25">
      <c r="F31" s="6"/>
      <c r="H31"/>
      <c r="J31"/>
      <c r="K31" s="36"/>
      <c r="L31" s="56">
        <f>IF(carnet2[[#This Row],['#]]&lt;&gt;"",IF(carnet2[[#This Row],[Lot]]&lt;0,carnet2[[#This Row],[Ouverture]]-carnet2[[#This Row],[Fermeture]],carnet2[[#This Row],[Fermeture]]-carnet2[[#This Row],[Ouverture]]),0)</f>
        <v>0</v>
      </c>
      <c r="M31" s="7">
        <f>M30+carnet2[Dif]</f>
        <v>0</v>
      </c>
      <c r="N31" s="36">
        <f>N30+carnet2[[#This Row],[Gain]]</f>
        <v>0</v>
      </c>
      <c r="O31" s="34">
        <f>IF(carnet2[[#This Row],['#]]&lt;&gt;0,IF(OR(carnet2[[#This Row],[Dif]]&gt;0,carnet2[[#This Row],[Dif]]=0),IF(OR($L30&gt;0,$L30=0),O30+1,1),IF($L30&lt;0,O30-1,-1)),0)</f>
        <v>0</v>
      </c>
      <c r="P31" s="5"/>
    </row>
    <row r="32" spans="1:18" x14ac:dyDescent="0.25">
      <c r="P32" s="5"/>
    </row>
    <row r="33" spans="16:16" x14ac:dyDescent="0.25">
      <c r="P33" s="5"/>
    </row>
    <row r="34" spans="16:16" x14ac:dyDescent="0.25">
      <c r="P34" s="5"/>
    </row>
    <row r="35" spans="16:16" x14ac:dyDescent="0.25">
      <c r="P35" s="5"/>
    </row>
    <row r="36" spans="16:16" x14ac:dyDescent="0.25">
      <c r="P36" s="5"/>
    </row>
    <row r="37" spans="16:16" x14ac:dyDescent="0.25">
      <c r="P37" s="5"/>
    </row>
    <row r="38" spans="16:16" x14ac:dyDescent="0.25">
      <c r="P38" s="5"/>
    </row>
    <row r="39" spans="16:16" x14ac:dyDescent="0.25">
      <c r="P39" s="5"/>
    </row>
    <row r="40" spans="16:16" x14ac:dyDescent="0.25">
      <c r="P40" s="5"/>
    </row>
    <row r="41" spans="16:16" x14ac:dyDescent="0.25">
      <c r="P41" s="5"/>
    </row>
    <row r="42" spans="16:16" x14ac:dyDescent="0.25">
      <c r="P42" s="5"/>
    </row>
    <row r="43" spans="16:16" x14ac:dyDescent="0.25">
      <c r="P43" s="5"/>
    </row>
    <row r="44" spans="16:16" x14ac:dyDescent="0.25">
      <c r="P44" s="5"/>
    </row>
    <row r="45" spans="16:16" x14ac:dyDescent="0.25">
      <c r="P45" s="5"/>
    </row>
    <row r="46" spans="16:16" x14ac:dyDescent="0.25">
      <c r="P46" s="5"/>
    </row>
    <row r="47" spans="16:16" x14ac:dyDescent="0.25">
      <c r="P47" s="5"/>
    </row>
    <row r="48" spans="16:16" x14ac:dyDescent="0.25">
      <c r="P48" s="5"/>
    </row>
    <row r="49" spans="16:16" x14ac:dyDescent="0.25">
      <c r="P49" s="5"/>
    </row>
    <row r="50" spans="16:16" x14ac:dyDescent="0.25">
      <c r="P50" s="5"/>
    </row>
    <row r="51" spans="16:16" x14ac:dyDescent="0.25">
      <c r="P51" s="5"/>
    </row>
    <row r="52" spans="16:16" x14ac:dyDescent="0.25">
      <c r="P52" s="5"/>
    </row>
    <row r="53" spans="16:16" x14ac:dyDescent="0.25">
      <c r="P53" s="5"/>
    </row>
    <row r="54" spans="16:16" x14ac:dyDescent="0.25">
      <c r="P54" s="5"/>
    </row>
    <row r="55" spans="16:16" x14ac:dyDescent="0.25">
      <c r="P55" s="5"/>
    </row>
    <row r="56" spans="16:16" x14ac:dyDescent="0.25">
      <c r="P56" s="5"/>
    </row>
    <row r="57" spans="16:16" x14ac:dyDescent="0.25">
      <c r="P57" s="5"/>
    </row>
    <row r="58" spans="16:16" x14ac:dyDescent="0.25">
      <c r="P58" s="5"/>
    </row>
    <row r="59" spans="16:16" x14ac:dyDescent="0.25">
      <c r="P59" s="5"/>
    </row>
    <row r="60" spans="16:16" x14ac:dyDescent="0.25">
      <c r="P60" s="5"/>
    </row>
    <row r="61" spans="16:16" x14ac:dyDescent="0.25">
      <c r="P61" s="5"/>
    </row>
    <row r="62" spans="16:16" x14ac:dyDescent="0.25">
      <c r="P62" s="5"/>
    </row>
    <row r="63" spans="16:16" x14ac:dyDescent="0.25">
      <c r="P63" s="5"/>
    </row>
    <row r="64" spans="16:16" x14ac:dyDescent="0.25">
      <c r="P64" s="5"/>
    </row>
    <row r="65" spans="16:16" x14ac:dyDescent="0.25">
      <c r="P65" s="5"/>
    </row>
    <row r="66" spans="16:16" x14ac:dyDescent="0.25">
      <c r="P66" s="5"/>
    </row>
    <row r="67" spans="16:16" x14ac:dyDescent="0.25">
      <c r="P67" s="5"/>
    </row>
    <row r="68" spans="16:16" x14ac:dyDescent="0.25">
      <c r="P68" s="5"/>
    </row>
    <row r="69" spans="16:16" x14ac:dyDescent="0.25">
      <c r="P69" s="5"/>
    </row>
    <row r="70" spans="16:16" x14ac:dyDescent="0.25">
      <c r="P70" s="5"/>
    </row>
    <row r="71" spans="16:16" x14ac:dyDescent="0.25">
      <c r="P71" s="5"/>
    </row>
    <row r="72" spans="16:16" x14ac:dyDescent="0.25">
      <c r="P72" s="5"/>
    </row>
    <row r="73" spans="16:16" x14ac:dyDescent="0.25">
      <c r="P73" s="5"/>
    </row>
    <row r="74" spans="16:16" x14ac:dyDescent="0.25">
      <c r="P74" s="5"/>
    </row>
    <row r="75" spans="16:16" x14ac:dyDescent="0.25">
      <c r="P75" s="5"/>
    </row>
    <row r="76" spans="16:16" x14ac:dyDescent="0.25">
      <c r="P76" s="5"/>
    </row>
    <row r="77" spans="16:16" x14ac:dyDescent="0.25">
      <c r="P77" s="5"/>
    </row>
    <row r="78" spans="16:16" x14ac:dyDescent="0.25">
      <c r="P78" s="5"/>
    </row>
    <row r="79" spans="16:16" x14ac:dyDescent="0.25">
      <c r="P79" s="5"/>
    </row>
    <row r="80" spans="16:16" x14ac:dyDescent="0.25">
      <c r="P80" s="5"/>
    </row>
    <row r="81" spans="16:16" x14ac:dyDescent="0.25">
      <c r="P81" s="5"/>
    </row>
    <row r="82" spans="16:16" x14ac:dyDescent="0.25">
      <c r="P82" s="5"/>
    </row>
    <row r="83" spans="16:16" x14ac:dyDescent="0.25">
      <c r="P83" s="5"/>
    </row>
    <row r="84" spans="16:16" x14ac:dyDescent="0.25">
      <c r="P84" s="5"/>
    </row>
    <row r="85" spans="16:16" x14ac:dyDescent="0.25">
      <c r="P85" s="5"/>
    </row>
    <row r="86" spans="16:16" x14ac:dyDescent="0.25">
      <c r="P86" s="5"/>
    </row>
    <row r="87" spans="16:16" x14ac:dyDescent="0.25">
      <c r="P87" s="5"/>
    </row>
    <row r="88" spans="16:16" x14ac:dyDescent="0.25">
      <c r="P88" s="5"/>
    </row>
    <row r="89" spans="16:16" x14ac:dyDescent="0.25">
      <c r="P89" s="5"/>
    </row>
    <row r="90" spans="16:16" x14ac:dyDescent="0.25">
      <c r="P90" s="5"/>
    </row>
    <row r="91" spans="16:16" x14ac:dyDescent="0.25">
      <c r="P91" s="5"/>
    </row>
    <row r="92" spans="16:16" x14ac:dyDescent="0.25">
      <c r="P92" s="5"/>
    </row>
    <row r="93" spans="16:16" x14ac:dyDescent="0.25">
      <c r="P93" s="5"/>
    </row>
    <row r="94" spans="16:16" ht="15" customHeight="1" x14ac:dyDescent="0.25">
      <c r="P94" s="5"/>
    </row>
    <row r="95" spans="16:16" x14ac:dyDescent="0.25">
      <c r="P95" s="5"/>
    </row>
    <row r="96" spans="16:16" x14ac:dyDescent="0.25">
      <c r="P96" s="5"/>
    </row>
    <row r="97" spans="16:16" x14ac:dyDescent="0.25">
      <c r="P97" s="5"/>
    </row>
    <row r="98" spans="16:16" x14ac:dyDescent="0.25">
      <c r="P98" s="5"/>
    </row>
    <row r="99" spans="16:16" x14ac:dyDescent="0.25">
      <c r="P99" s="5"/>
    </row>
    <row r="100" spans="16:16" x14ac:dyDescent="0.25">
      <c r="P100" s="5"/>
    </row>
    <row r="101" spans="16:16" x14ac:dyDescent="0.25">
      <c r="P101" s="5"/>
    </row>
    <row r="102" spans="16:16" x14ac:dyDescent="0.25">
      <c r="P102" s="5"/>
    </row>
    <row r="103" spans="16:16" x14ac:dyDescent="0.25">
      <c r="P103" s="5"/>
    </row>
    <row r="104" spans="16:16" x14ac:dyDescent="0.25">
      <c r="P104" s="5"/>
    </row>
    <row r="105" spans="16:16" x14ac:dyDescent="0.25">
      <c r="P105" s="5"/>
    </row>
    <row r="106" spans="16:16" x14ac:dyDescent="0.25">
      <c r="P106" s="5"/>
    </row>
    <row r="107" spans="16:16" x14ac:dyDescent="0.25">
      <c r="P107" s="5"/>
    </row>
    <row r="108" spans="16:16" x14ac:dyDescent="0.25">
      <c r="P108" s="5"/>
    </row>
    <row r="109" spans="16:16" x14ac:dyDescent="0.25">
      <c r="P109" s="5"/>
    </row>
    <row r="110" spans="16:16" x14ac:dyDescent="0.25">
      <c r="P110" s="5"/>
    </row>
    <row r="111" spans="16:16" x14ac:dyDescent="0.25">
      <c r="P111" s="5"/>
    </row>
    <row r="112" spans="16:16" x14ac:dyDescent="0.25">
      <c r="P112" s="5"/>
    </row>
    <row r="113" spans="16:16" x14ac:dyDescent="0.25">
      <c r="P113" s="5"/>
    </row>
    <row r="114" spans="16:16" x14ac:dyDescent="0.25">
      <c r="P114" s="5"/>
    </row>
    <row r="115" spans="16:16" x14ac:dyDescent="0.25">
      <c r="P115" s="5"/>
    </row>
    <row r="116" spans="16:16" x14ac:dyDescent="0.25">
      <c r="P116" s="5"/>
    </row>
    <row r="117" spans="16:16" x14ac:dyDescent="0.25">
      <c r="P117" s="5"/>
    </row>
    <row r="118" spans="16:16" x14ac:dyDescent="0.25">
      <c r="P118" s="5"/>
    </row>
    <row r="119" spans="16:16" x14ac:dyDescent="0.25">
      <c r="P119" s="5"/>
    </row>
    <row r="120" spans="16:16" x14ac:dyDescent="0.25">
      <c r="P120" s="5"/>
    </row>
    <row r="121" spans="16:16" x14ac:dyDescent="0.25">
      <c r="P121" s="5"/>
    </row>
    <row r="122" spans="16:16" x14ac:dyDescent="0.25">
      <c r="P122" s="5"/>
    </row>
    <row r="123" spans="16:16" x14ac:dyDescent="0.25">
      <c r="P123" s="5"/>
    </row>
    <row r="124" spans="16:16" x14ac:dyDescent="0.25">
      <c r="P124" s="5"/>
    </row>
    <row r="125" spans="16:16" x14ac:dyDescent="0.25">
      <c r="P125" s="5"/>
    </row>
    <row r="126" spans="16:16" x14ac:dyDescent="0.25">
      <c r="P126" s="5"/>
    </row>
    <row r="127" spans="16:16" x14ac:dyDescent="0.25">
      <c r="P127" s="5"/>
    </row>
    <row r="128" spans="16:16" x14ac:dyDescent="0.25">
      <c r="P128" s="5"/>
    </row>
    <row r="129" spans="16:16" x14ac:dyDescent="0.25">
      <c r="P129" s="5"/>
    </row>
    <row r="130" spans="16:16" x14ac:dyDescent="0.25">
      <c r="P130" s="5"/>
    </row>
    <row r="131" spans="16:16" x14ac:dyDescent="0.25">
      <c r="P131" s="5"/>
    </row>
    <row r="132" spans="16:16" x14ac:dyDescent="0.25">
      <c r="P132" s="5"/>
    </row>
    <row r="133" spans="16:16" x14ac:dyDescent="0.25">
      <c r="P133" s="5"/>
    </row>
  </sheetData>
  <mergeCells count="3">
    <mergeCell ref="C5:C6"/>
    <mergeCell ref="A1:O1"/>
    <mergeCell ref="A5:B6"/>
  </mergeCells>
  <conditionalFormatting sqref="O5:P5 P6:P133 O6:O71">
    <cfRule type="cellIs" dxfId="176" priority="77" operator="lessThan">
      <formula>0</formula>
    </cfRule>
    <cfRule type="cellIs" dxfId="175" priority="78" operator="greaterThan">
      <formula>0</formula>
    </cfRule>
  </conditionalFormatting>
  <conditionalFormatting sqref="L5:L31">
    <cfRule type="cellIs" dxfId="174" priority="75" operator="lessThan">
      <formula>0</formula>
    </cfRule>
    <cfRule type="cellIs" dxfId="173" priority="76" operator="greaterThan">
      <formula>0</formula>
    </cfRule>
  </conditionalFormatting>
  <conditionalFormatting sqref="M5:M31">
    <cfRule type="cellIs" dxfId="172" priority="61" operator="lessThan">
      <formula>0</formula>
    </cfRule>
    <cfRule type="cellIs" dxfId="171" priority="62" operator="greaterThan">
      <formula>0</formula>
    </cfRule>
  </conditionalFormatting>
  <conditionalFormatting sqref="N5:N31">
    <cfRule type="cellIs" dxfId="170" priority="37" operator="lessThan">
      <formula>0</formula>
    </cfRule>
    <cfRule type="cellIs" dxfId="169" priority="38" operator="greaterThan">
      <formula>0</formula>
    </cfRule>
  </conditionalFormatting>
  <conditionalFormatting sqref="C20:C22">
    <cfRule type="cellIs" dxfId="168" priority="7" operator="lessThan">
      <formula>0</formula>
    </cfRule>
    <cfRule type="cellIs" dxfId="167" priority="8" operator="greaterThan">
      <formula>0</formula>
    </cfRule>
  </conditionalFormatting>
  <conditionalFormatting sqref="B22">
    <cfRule type="cellIs" dxfId="166" priority="13" operator="lessThan">
      <formula>0</formula>
    </cfRule>
    <cfRule type="cellIs" dxfId="165" priority="14" operator="greaterThan">
      <formula>0</formula>
    </cfRule>
  </conditionalFormatting>
  <conditionalFormatting sqref="B17:C19">
    <cfRule type="cellIs" dxfId="164" priority="11" operator="lessThan">
      <formula>0</formula>
    </cfRule>
    <cfRule type="cellIs" dxfId="163" priority="12" operator="greaterThan">
      <formula>0</formula>
    </cfRule>
  </conditionalFormatting>
  <conditionalFormatting sqref="C9:D11 B20">
    <cfRule type="cellIs" dxfId="162" priority="23" operator="lessThan">
      <formula>0</formula>
    </cfRule>
    <cfRule type="cellIs" dxfId="161" priority="24" operator="greaterThan">
      <formula>0</formula>
    </cfRule>
  </conditionalFormatting>
  <conditionalFormatting sqref="B9">
    <cfRule type="cellIs" dxfId="160" priority="21" operator="lessThan">
      <formula>0</formula>
    </cfRule>
    <cfRule type="cellIs" dxfId="159" priority="22" operator="greaterThan">
      <formula>0</formula>
    </cfRule>
  </conditionalFormatting>
  <conditionalFormatting sqref="B11">
    <cfRule type="cellIs" dxfId="158" priority="19" operator="lessThan">
      <formula>0</formula>
    </cfRule>
    <cfRule type="cellIs" dxfId="157" priority="20" operator="greaterThan">
      <formula>0</formula>
    </cfRule>
  </conditionalFormatting>
  <conditionalFormatting sqref="B10">
    <cfRule type="cellIs" dxfId="156" priority="17" operator="lessThan">
      <formula>0</formula>
    </cfRule>
    <cfRule type="cellIs" dxfId="155" priority="18" operator="greaterThan">
      <formula>0</formula>
    </cfRule>
  </conditionalFormatting>
  <conditionalFormatting sqref="B21">
    <cfRule type="cellIs" dxfId="154" priority="15" operator="lessThan">
      <formula>0</formula>
    </cfRule>
    <cfRule type="cellIs" dxfId="153" priority="16" operator="greaterThan">
      <formula>0</formula>
    </cfRule>
  </conditionalFormatting>
  <conditionalFormatting sqref="C20:C22">
    <cfRule type="cellIs" dxfId="152" priority="9" operator="lessThan">
      <formula>0</formula>
    </cfRule>
    <cfRule type="cellIs" dxfId="151" priority="10" operator="greaterThan">
      <formula>0</formula>
    </cfRule>
  </conditionalFormatting>
  <conditionalFormatting sqref="B24">
    <cfRule type="cellIs" dxfId="150" priority="3" operator="lessThan">
      <formula>0</formula>
    </cfRule>
    <cfRule type="cellIs" dxfId="149" priority="4" operator="greaterThan">
      <formula>0</formula>
    </cfRule>
  </conditionalFormatting>
  <conditionalFormatting sqref="K5:K31">
    <cfRule type="cellIs" dxfId="148" priority="1" operator="lessThan">
      <formula>0</formula>
    </cfRule>
    <cfRule type="cellIs" dxfId="147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41"/>
  <sheetViews>
    <sheetView zoomScaleNormal="100" workbookViewId="0">
      <pane ySplit="3" topLeftCell="A5" activePane="bottomLeft" state="frozen"/>
      <selection pane="bottomLeft" activeCell="G5" sqref="G5:O23"/>
    </sheetView>
  </sheetViews>
  <sheetFormatPr baseColWidth="10" defaultRowHeight="15" x14ac:dyDescent="0.25"/>
  <cols>
    <col min="2" max="2" width="12.140625" bestFit="1" customWidth="1"/>
    <col min="3" max="3" width="11.85546875" bestFit="1" customWidth="1"/>
    <col min="4" max="4" width="5.5703125" bestFit="1" customWidth="1"/>
    <col min="5" max="5" width="0.42578125" customWidth="1"/>
    <col min="6" max="6" width="4.28515625" bestFit="1" customWidth="1"/>
    <col min="7" max="7" width="12.7109375" customWidth="1"/>
    <col min="8" max="8" width="12.42578125" style="1" bestFit="1" customWidth="1"/>
    <col min="9" max="9" width="6" bestFit="1" customWidth="1"/>
    <col min="10" max="10" width="12.7109375" style="1" bestFit="1" customWidth="1"/>
    <col min="11" max="11" width="12.7109375" style="1" customWidth="1"/>
    <col min="12" max="12" width="9.5703125" bestFit="1" customWidth="1"/>
    <col min="13" max="13" width="9.5703125" customWidth="1"/>
    <col min="14" max="14" width="12" style="3" customWidth="1"/>
    <col min="15" max="15" width="9" style="3" customWidth="1"/>
    <col min="16" max="16" width="10.140625" style="3" customWidth="1"/>
    <col min="18" max="18" width="12.42578125" customWidth="1"/>
    <col min="19" max="19" width="11.85546875" customWidth="1"/>
    <col min="20" max="20" width="12.28515625" customWidth="1"/>
  </cols>
  <sheetData>
    <row r="1" spans="1:18" ht="15.75" x14ac:dyDescent="0.25">
      <c r="A1" s="60" t="str">
        <f ca="1">MID(CELL("nomfichier"),FIND("]",CELL("nomfichier"))+1,20)</f>
        <v>20 JUIN 2016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/>
    </row>
    <row r="2" spans="1:18" ht="4.5" customHeight="1" x14ac:dyDescent="0.25"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8" x14ac:dyDescent="0.25">
      <c r="F3" s="22" t="s">
        <v>13</v>
      </c>
      <c r="G3" s="22" t="s">
        <v>0</v>
      </c>
      <c r="H3" s="22" t="s">
        <v>1</v>
      </c>
      <c r="I3" s="22" t="s">
        <v>25</v>
      </c>
      <c r="J3" s="22" t="s">
        <v>2</v>
      </c>
      <c r="K3" s="22" t="s">
        <v>8</v>
      </c>
      <c r="L3" s="22" t="s">
        <v>3</v>
      </c>
      <c r="M3" s="22" t="s">
        <v>14</v>
      </c>
      <c r="N3" s="22" t="s">
        <v>5</v>
      </c>
      <c r="O3" s="22" t="s">
        <v>24</v>
      </c>
    </row>
    <row r="4" spans="1:18" s="10" customFormat="1" ht="6" customHeight="1" x14ac:dyDescent="0.25">
      <c r="B4" s="31"/>
      <c r="C4" s="31"/>
      <c r="D4" s="31"/>
      <c r="E4" s="31"/>
      <c r="F4" s="31"/>
      <c r="G4" s="31"/>
      <c r="H4" s="31"/>
      <c r="I4" s="31"/>
      <c r="J4" s="31"/>
      <c r="K4" s="38"/>
      <c r="L4" s="31">
        <f>IF(carnet3[[#This Row],['#]]&lt;&gt;"",IF(carnet3[[#This Row],[Lot]]&lt;0,carnet3[[#This Row],[Ouverture]]-carnet3[[#This Row],[Fermeture]],carnet3[[#This Row],[Fermeture]]-carnet3[[#This Row],[Ouverture]]),0)</f>
        <v>0</v>
      </c>
      <c r="M4" s="55">
        <v>0</v>
      </c>
      <c r="N4" s="31">
        <v>0</v>
      </c>
      <c r="O4" s="31">
        <v>0</v>
      </c>
      <c r="P4" s="31"/>
    </row>
    <row r="5" spans="1:18" ht="15" customHeight="1" x14ac:dyDescent="0.25">
      <c r="A5" s="62">
        <f>MAX(carnet3['#])</f>
        <v>0</v>
      </c>
      <c r="B5" s="62"/>
      <c r="C5" s="61" t="s">
        <v>15</v>
      </c>
      <c r="F5" s="6"/>
      <c r="H5"/>
      <c r="J5"/>
      <c r="K5" s="36"/>
      <c r="L5" s="35">
        <f>IF(carnet3[[#This Row],['#]]&lt;&gt;"",IF(carnet3[[#This Row],[Lot]]&lt;0,carnet3[[#This Row],[Ouverture]]-carnet3[[#This Row],[Fermeture]],carnet3[[#This Row],[Fermeture]]-carnet3[[#This Row],[Ouverture]]),0)</f>
        <v>0</v>
      </c>
      <c r="M5" s="7">
        <f>M4+carnet3[Dif]</f>
        <v>0</v>
      </c>
      <c r="N5" s="36">
        <f>IF(K5&lt;&gt;"",N4+carnet3[[#This Row],[Gain]],N4)</f>
        <v>0</v>
      </c>
      <c r="O5" s="34">
        <f>IF(carnet3[[#This Row],['#]]&lt;&gt;"",IF(OR(carnet3[[#This Row],[Dif]]&gt;0,carnet3[[#This Row],[Dif]]=0),IF(OR($L4&gt;0,$L4=0),O4+1,1),IF($L4&lt;0,O4-1,-1)),0)</f>
        <v>0</v>
      </c>
      <c r="P5" s="5"/>
    </row>
    <row r="6" spans="1:18" ht="15" customHeight="1" x14ac:dyDescent="0.25">
      <c r="A6" s="62"/>
      <c r="B6" s="62"/>
      <c r="C6" s="61"/>
      <c r="F6" s="6"/>
      <c r="H6"/>
      <c r="J6"/>
      <c r="K6" s="36"/>
      <c r="L6" s="35">
        <f>IF(carnet3[[#This Row],['#]]&lt;&gt;"",IF(carnet3[[#This Row],[Lot]]&lt;0,carnet3[[#This Row],[Ouverture]]-carnet3[[#This Row],[Fermeture]],carnet3[[#This Row],[Fermeture]]-carnet3[[#This Row],[Ouverture]]),0)</f>
        <v>0</v>
      </c>
      <c r="M6" s="7">
        <f>M5+carnet3[Dif]</f>
        <v>0</v>
      </c>
      <c r="N6" s="36">
        <f>IF(K6&lt;&gt;"",N5+carnet3[[#This Row],[Gain]],N5)</f>
        <v>0</v>
      </c>
      <c r="O6" s="34">
        <f>IF(carnet3[[#This Row],['#]]&lt;&gt;"",IF(OR(carnet3[[#This Row],[Dif]]&gt;0,carnet3[[#This Row],[Dif]]=0),IF(OR($L5&gt;0,$L5=0),O5+1,1),IF($L5&lt;0,O5-1,-1)),0)</f>
        <v>0</v>
      </c>
      <c r="P6" s="5"/>
    </row>
    <row r="7" spans="1:18" x14ac:dyDescent="0.25">
      <c r="F7" s="6"/>
      <c r="H7"/>
      <c r="J7"/>
      <c r="K7" s="36"/>
      <c r="L7" s="35">
        <f>IF(carnet3[[#This Row],['#]]&lt;&gt;"",IF(carnet3[[#This Row],[Lot]]&lt;0,carnet3[[#This Row],[Ouverture]]-carnet3[[#This Row],[Fermeture]],carnet3[[#This Row],[Fermeture]]-carnet3[[#This Row],[Ouverture]]),0)</f>
        <v>0</v>
      </c>
      <c r="M7" s="7">
        <f>M6+carnet3[Dif]</f>
        <v>0</v>
      </c>
      <c r="N7" s="36">
        <f>IF(K7&lt;&gt;"",N6+carnet3[[#This Row],[Gain]],N6)</f>
        <v>0</v>
      </c>
      <c r="O7" s="34">
        <f>IF(carnet3[[#This Row],['#]]&lt;&gt;"",IF(OR(carnet3[[#This Row],[Dif]]&gt;0,carnet3[[#This Row],[Dif]]=0),IF(OR($L6&gt;0,$L6=0),O6+1,1),IF($L6&lt;0,O6-1,-1)),0)</f>
        <v>0</v>
      </c>
      <c r="P7" s="5"/>
    </row>
    <row r="8" spans="1:18" ht="15.75" x14ac:dyDescent="0.25">
      <c r="A8" s="54" t="s">
        <v>21</v>
      </c>
      <c r="B8" s="24" t="s">
        <v>20</v>
      </c>
      <c r="C8" s="24" t="s">
        <v>14</v>
      </c>
      <c r="D8" s="21"/>
      <c r="F8" s="6"/>
      <c r="H8"/>
      <c r="J8"/>
      <c r="K8" s="36"/>
      <c r="L8" s="35">
        <f>IF(carnet3[[#This Row],['#]]&lt;&gt;"",IF(carnet3[[#This Row],[Lot]]&lt;0,carnet3[[#This Row],[Ouverture]]-carnet3[[#This Row],[Fermeture]],carnet3[[#This Row],[Fermeture]]-carnet3[[#This Row],[Ouverture]]),0)</f>
        <v>0</v>
      </c>
      <c r="M8" s="7">
        <f>M7+carnet3[Dif]</f>
        <v>0</v>
      </c>
      <c r="N8" s="36">
        <f>IF(K8&lt;&gt;"",N7+carnet3[[#This Row],[Gain]],N7)</f>
        <v>0</v>
      </c>
      <c r="O8" s="34">
        <f>IF(carnet3[[#This Row],['#]]&lt;&gt;"",IF(OR(carnet3[[#This Row],[Dif]]&gt;0,carnet3[[#This Row],[Dif]]=0),IF(OR($L7&gt;0,$L7=0),O7+1,1),IF($L7&lt;0,O7-1,-1)),0)</f>
        <v>0</v>
      </c>
      <c r="P8" s="5"/>
    </row>
    <row r="9" spans="1:18" x14ac:dyDescent="0.25">
      <c r="A9" s="23" t="s">
        <v>6</v>
      </c>
      <c r="B9" s="14">
        <f>_xlfn.MINIFS(carnet3[Capital],carnet3[Capital],"&lt;&gt;0")</f>
        <v>0</v>
      </c>
      <c r="C9" s="15">
        <f>_xlfn.MINIFS(carnet3[Pts],carnet3[Pts],"&lt;&gt;0")</f>
        <v>0</v>
      </c>
      <c r="D9" s="11"/>
      <c r="F9" s="6"/>
      <c r="H9"/>
      <c r="J9"/>
      <c r="K9" s="36"/>
      <c r="L9" s="35">
        <f>IF(carnet3[[#This Row],['#]]&lt;&gt;"",IF(carnet3[[#This Row],[Lot]]&lt;0,carnet3[[#This Row],[Ouverture]]-carnet3[[#This Row],[Fermeture]],carnet3[[#This Row],[Fermeture]]-carnet3[[#This Row],[Ouverture]]),0)</f>
        <v>0</v>
      </c>
      <c r="M9" s="7">
        <f>M8+carnet3[Dif]</f>
        <v>0</v>
      </c>
      <c r="N9" s="36">
        <f>IF(K9&lt;&gt;"",N8+carnet3[[#This Row],[Gain]],N8)</f>
        <v>0</v>
      </c>
      <c r="O9" s="34">
        <f>IF(carnet3[[#This Row],['#]]&lt;&gt;"",IF(OR(carnet3[[#This Row],[Dif]]&gt;0,carnet3[[#This Row],[Dif]]=0),IF(OR($L8&gt;0,$L8=0),O8+1,1),IF($L8&lt;0,O8-1,-1)),0)</f>
        <v>0</v>
      </c>
      <c r="P9" s="5"/>
    </row>
    <row r="10" spans="1:18" ht="15.75" x14ac:dyDescent="0.25">
      <c r="A10" s="23" t="s">
        <v>4</v>
      </c>
      <c r="B10" s="13">
        <f>SUM(carnet3[Gain])</f>
        <v>0</v>
      </c>
      <c r="C10" s="8">
        <f>SUM(carnet3[Dif])</f>
        <v>0</v>
      </c>
      <c r="D10" s="12"/>
      <c r="F10" s="6"/>
      <c r="H10"/>
      <c r="J10"/>
      <c r="K10" s="36"/>
      <c r="L10" s="35">
        <f>IF(carnet3[[#This Row],['#]]&lt;&gt;"",IF(carnet3[[#This Row],[Lot]]&lt;0,carnet3[[#This Row],[Ouverture]]-carnet3[[#This Row],[Fermeture]],carnet3[[#This Row],[Fermeture]]-carnet3[[#This Row],[Ouverture]]),0)</f>
        <v>0</v>
      </c>
      <c r="M10" s="7">
        <f>M9+carnet3[Dif]</f>
        <v>0</v>
      </c>
      <c r="N10" s="36">
        <f>IF(K10&lt;&gt;"",N9+carnet3[[#This Row],[Gain]],N9)</f>
        <v>0</v>
      </c>
      <c r="O10" s="34">
        <f>IF(carnet3[[#This Row],['#]]&lt;&gt;"",IF(OR(carnet3[[#This Row],[Dif]]&gt;0,carnet3[[#This Row],[Dif]]=0),IF(OR($L9&gt;0,$L9=0),O9+1,1),IF($L9&lt;0,O9-1,-1)),0)</f>
        <v>0</v>
      </c>
      <c r="P10" s="5"/>
    </row>
    <row r="11" spans="1:18" x14ac:dyDescent="0.25">
      <c r="A11" s="23" t="s">
        <v>7</v>
      </c>
      <c r="B11" s="16">
        <f>_xlfn.MAXIFS(carnet3[Capital],carnet3[Capital],"&lt;&gt;0")</f>
        <v>0</v>
      </c>
      <c r="C11" s="17">
        <f>_xlfn.MAXIFS(carnet3[Pts],carnet3[Pts],"&lt;&gt;0")</f>
        <v>0</v>
      </c>
      <c r="D11" s="11"/>
      <c r="F11" s="6"/>
      <c r="H11"/>
      <c r="J11"/>
      <c r="K11" s="36"/>
      <c r="L11" s="35">
        <f>IF(carnet3[[#This Row],['#]]&lt;&gt;"",IF(carnet3[[#This Row],[Lot]]&lt;0,carnet3[[#This Row],[Ouverture]]-carnet3[[#This Row],[Fermeture]],carnet3[[#This Row],[Fermeture]]-carnet3[[#This Row],[Ouverture]]),0)</f>
        <v>0</v>
      </c>
      <c r="M11" s="7">
        <f>M10+carnet3[Dif]</f>
        <v>0</v>
      </c>
      <c r="N11" s="36">
        <f>IF(K11&lt;&gt;"",N10+carnet3[[#This Row],[Gain]],N10)</f>
        <v>0</v>
      </c>
      <c r="O11" s="34">
        <f>IF(carnet3[[#This Row],['#]]&lt;&gt;"",IF(OR(carnet3[[#This Row],[Dif]]&gt;0,carnet3[[#This Row],[Dif]]=0),IF(OR($L10&gt;0,$L10=0),O10+1,1),IF($L10&lt;0,O10-1,-1)),0)</f>
        <v>0</v>
      </c>
      <c r="P11" s="5"/>
    </row>
    <row r="12" spans="1:18" x14ac:dyDescent="0.25">
      <c r="F12" s="6"/>
      <c r="H12"/>
      <c r="J12"/>
      <c r="K12" s="36"/>
      <c r="L12" s="35">
        <f>IF(carnet3[[#This Row],['#]]&lt;&gt;"",IF(carnet3[[#This Row],[Lot]]&lt;0,carnet3[[#This Row],[Ouverture]]-carnet3[[#This Row],[Fermeture]],carnet3[[#This Row],[Fermeture]]-carnet3[[#This Row],[Ouverture]]),0)</f>
        <v>0</v>
      </c>
      <c r="M12" s="7">
        <f>M11+carnet3[Dif]</f>
        <v>0</v>
      </c>
      <c r="N12" s="36">
        <f>IF(K12&lt;&gt;"",N11+carnet3[[#This Row],[Gain]],N11)</f>
        <v>0</v>
      </c>
      <c r="O12" s="34">
        <f>IF(carnet3[[#This Row],['#]]&lt;&gt;"",IF(OR(carnet3[[#This Row],[Dif]]&gt;0,carnet3[[#This Row],[Dif]]=0),IF(OR($L11&gt;0,$L11=0),O11+1,1),IF($L11&lt;0,O11-1,-1)),0)</f>
        <v>0</v>
      </c>
      <c r="P12" s="5"/>
    </row>
    <row r="13" spans="1:18" ht="15.75" x14ac:dyDescent="0.25">
      <c r="A13" s="54" t="s">
        <v>15</v>
      </c>
      <c r="B13" s="24" t="s">
        <v>19</v>
      </c>
      <c r="C13" s="24" t="s">
        <v>18</v>
      </c>
      <c r="D13" s="28" t="s">
        <v>17</v>
      </c>
      <c r="F13" s="6"/>
      <c r="H13"/>
      <c r="J13"/>
      <c r="K13" s="36"/>
      <c r="L13" s="35">
        <f>IF(carnet3[[#This Row],['#]]&lt;&gt;"",IF(carnet3[[#This Row],[Lot]]&lt;0,carnet3[[#This Row],[Ouverture]]-carnet3[[#This Row],[Fermeture]],carnet3[[#This Row],[Fermeture]]-carnet3[[#This Row],[Ouverture]]),0)</f>
        <v>0</v>
      </c>
      <c r="M13" s="7">
        <f>M12+carnet3[Dif]</f>
        <v>0</v>
      </c>
      <c r="N13" s="36">
        <f>IF(K13&lt;&gt;"",N12+carnet3[[#This Row],[Gain]],N12)</f>
        <v>0</v>
      </c>
      <c r="O13" s="34">
        <f>IF(carnet3[[#This Row],['#]]&lt;&gt;"",IF(OR(carnet3[[#This Row],[Dif]]&gt;0,carnet3[[#This Row],[Dif]]=0),IF(OR($L12&gt;0,$L12=0),O12+1,1),IF($L12&lt;0,O12-1,-1)),0)</f>
        <v>0</v>
      </c>
      <c r="P13" s="5"/>
    </row>
    <row r="14" spans="1:18" x14ac:dyDescent="0.25">
      <c r="A14" s="23" t="s">
        <v>9</v>
      </c>
      <c r="B14" s="18">
        <f>COUNTIF(carnet3[Dif],"&gt;0")</f>
        <v>0</v>
      </c>
      <c r="C14" s="25">
        <f>COUNTIF(carnet3[Dif],"&lt;0")</f>
        <v>0</v>
      </c>
      <c r="D14" s="29">
        <f>IF($A$5&lt;&gt;0,COUNTIF(carnet3[Dif],"=0,0"),0)</f>
        <v>0</v>
      </c>
      <c r="F14" s="6"/>
      <c r="H14"/>
      <c r="J14"/>
      <c r="K14" s="36"/>
      <c r="L14" s="35">
        <f>IF(carnet3[[#This Row],['#]]&lt;&gt;"",IF(carnet3[[#This Row],[Lot]]&lt;0,carnet3[[#This Row],[Ouverture]]-carnet3[[#This Row],[Fermeture]],carnet3[[#This Row],[Fermeture]]-carnet3[[#This Row],[Ouverture]]),0)</f>
        <v>0</v>
      </c>
      <c r="M14" s="7">
        <f>M13+carnet3[Dif]</f>
        <v>0</v>
      </c>
      <c r="N14" s="36">
        <f>IF(K14&lt;&gt;"",N13+carnet3[[#This Row],[Gain]],N13)</f>
        <v>0</v>
      </c>
      <c r="O14" s="34">
        <f>IF(carnet3[[#This Row],['#]]&lt;&gt;"",IF(OR(carnet3[[#This Row],[Dif]]&gt;0,carnet3[[#This Row],[Dif]]=0),IF(OR($L13&gt;0,$L13=0),O13+1,1),IF($L13&lt;0,O13-1,-1)),0)</f>
        <v>0</v>
      </c>
      <c r="P14" s="5"/>
    </row>
    <row r="15" spans="1:18" ht="15.75" x14ac:dyDescent="0.25">
      <c r="A15" s="23" t="s">
        <v>10</v>
      </c>
      <c r="B15" s="19">
        <f>IF($A$5&lt;&gt;0,B14/$A$5,0)</f>
        <v>0</v>
      </c>
      <c r="C15" s="26">
        <f>IF($A$5&lt;&gt;0,C14/$A$5,0)</f>
        <v>0</v>
      </c>
      <c r="D15" s="30">
        <f>IF($A$5&lt;&gt;0,D14/$A$5,0)</f>
        <v>0</v>
      </c>
      <c r="F15" s="6"/>
      <c r="H15"/>
      <c r="J15"/>
      <c r="K15" s="36"/>
      <c r="L15" s="35">
        <f>IF(carnet3[[#This Row],['#]]&lt;&gt;"",IF(carnet3[[#This Row],[Lot]]&lt;0,carnet3[[#This Row],[Ouverture]]-carnet3[[#This Row],[Fermeture]],carnet3[[#This Row],[Fermeture]]-carnet3[[#This Row],[Ouverture]]),0)</f>
        <v>0</v>
      </c>
      <c r="M15" s="7">
        <f>M14+carnet3[Dif]</f>
        <v>0</v>
      </c>
      <c r="N15" s="36">
        <f>IF(K15&lt;&gt;"",N14+carnet3[[#This Row],[Gain]],N14)</f>
        <v>0</v>
      </c>
      <c r="O15" s="34">
        <f>IF(carnet3[[#This Row],['#]]&lt;&gt;"",IF(OR(carnet3[[#This Row],[Dif]]&gt;0,carnet3[[#This Row],[Dif]]=0),IF(OR($L14&gt;0,$L14=0),O14+1,1),IF($L14&lt;0,O14-1,-1)),0)</f>
        <v>0</v>
      </c>
      <c r="P15" s="5"/>
      <c r="R15" s="4"/>
    </row>
    <row r="16" spans="1:18" x14ac:dyDescent="0.25">
      <c r="A16" s="23" t="s">
        <v>24</v>
      </c>
      <c r="B16" s="20">
        <f>MAX(carnet3[Série])</f>
        <v>0</v>
      </c>
      <c r="C16" s="27">
        <f>ABS(MIN(carnet3[Série]))</f>
        <v>0</v>
      </c>
      <c r="D16" s="29"/>
      <c r="F16" s="6"/>
      <c r="H16"/>
      <c r="J16"/>
      <c r="K16" s="36"/>
      <c r="L16" s="35">
        <f>IF(carnet3[[#This Row],['#]]&lt;&gt;"",IF(carnet3[[#This Row],[Lot]]&lt;0,carnet3[[#This Row],[Ouverture]]-carnet3[[#This Row],[Fermeture]],carnet3[[#This Row],[Fermeture]]-carnet3[[#This Row],[Ouverture]]),0)</f>
        <v>0</v>
      </c>
      <c r="M16" s="7">
        <f>M15+carnet3[Dif]</f>
        <v>0</v>
      </c>
      <c r="N16" s="36">
        <f>IF(K16&lt;&gt;"",N15+carnet3[[#This Row],[Gain]],N15)</f>
        <v>0</v>
      </c>
      <c r="O16" s="34">
        <f>IF(carnet3[[#This Row],['#]]&lt;&gt;"",IF(OR(carnet3[[#This Row],[Dif]]&gt;0,carnet3[[#This Row],[Dif]]=0),IF(OR($L15&gt;0,$L15=0),O15+1,1),IF($L15&lt;0,O15-1,-1)),0)</f>
        <v>0</v>
      </c>
      <c r="P16" s="5"/>
    </row>
    <row r="17" spans="1:18" x14ac:dyDescent="0.25">
      <c r="A17" s="23" t="s">
        <v>11</v>
      </c>
      <c r="B17" s="37">
        <f>IF(A5&lt;&gt;0,AVERAGEIF(carnet3[Dif],"&gt;0",carnet3[Gain]),0)</f>
        <v>0</v>
      </c>
      <c r="C17" s="37">
        <f>IF(MIN(carnet3[Dif])&lt;0,IF(A5&lt;&gt;0,AVERAGEIF(carnet3[Dif],"&lt;0",carnet3[Gain]),0),0)</f>
        <v>0</v>
      </c>
      <c r="D17" s="29"/>
      <c r="F17" s="6"/>
      <c r="H17"/>
      <c r="J17"/>
      <c r="K17" s="36"/>
      <c r="L17" s="35">
        <f>IF(carnet3[[#This Row],['#]]&lt;&gt;"",IF(carnet3[[#This Row],[Lot]]&lt;0,carnet3[[#This Row],[Ouverture]]-carnet3[[#This Row],[Fermeture]],carnet3[[#This Row],[Fermeture]]-carnet3[[#This Row],[Ouverture]]),0)</f>
        <v>0</v>
      </c>
      <c r="M17" s="7">
        <f>M16+carnet3[Dif]</f>
        <v>0</v>
      </c>
      <c r="N17" s="36">
        <f>IF(K17&lt;&gt;"",N16+carnet3[[#This Row],[Gain]],N16)</f>
        <v>0</v>
      </c>
      <c r="O17" s="34">
        <f>IF(carnet3[[#This Row],['#]]&lt;&gt;"",IF(OR(carnet3[[#This Row],[Dif]]&gt;0,carnet3[[#This Row],[Dif]]=0),IF(OR($L16&gt;0,$L16=0),O16+1,1),IF($L16&lt;0,O16-1,-1)),0)</f>
        <v>0</v>
      </c>
      <c r="P17" s="5"/>
    </row>
    <row r="18" spans="1:18" x14ac:dyDescent="0.25">
      <c r="A18" s="23" t="s">
        <v>16</v>
      </c>
      <c r="B18" s="37">
        <f>_xlfn.MAXIFS(carnet3[Gain],carnet3[Gain],"&gt;0")</f>
        <v>0</v>
      </c>
      <c r="C18" s="37">
        <f>_xlfn.MINIFS(carnet3[Gain],carnet3[Gain],"&lt;0")</f>
        <v>0</v>
      </c>
      <c r="D18" s="29"/>
      <c r="F18" s="6"/>
      <c r="H18"/>
      <c r="J18"/>
      <c r="K18" s="36"/>
      <c r="L18" s="35">
        <f>IF(carnet3[[#This Row],['#]]&lt;&gt;"",IF(carnet3[[#This Row],[Lot]]&lt;0,carnet3[[#This Row],[Ouverture]]-carnet3[[#This Row],[Fermeture]],carnet3[[#This Row],[Fermeture]]-carnet3[[#This Row],[Ouverture]]),0)</f>
        <v>0</v>
      </c>
      <c r="M18" s="7">
        <f>M17+carnet3[Dif]</f>
        <v>0</v>
      </c>
      <c r="N18" s="36">
        <f>IF(K18&lt;&gt;"",N17+carnet3[[#This Row],[Gain]],N17)</f>
        <v>0</v>
      </c>
      <c r="O18" s="34">
        <f>IF(carnet3[[#This Row],['#]]&lt;&gt;"",IF(OR(carnet3[[#This Row],[Dif]]&gt;0,carnet3[[#This Row],[Dif]]=0),IF(OR($L17&gt;0,$L17=0),O17+1,1),IF($L17&lt;0,O17-1,-1)),0)</f>
        <v>0</v>
      </c>
      <c r="P18" s="5"/>
    </row>
    <row r="19" spans="1:18" x14ac:dyDescent="0.25">
      <c r="A19" s="32" t="s">
        <v>12</v>
      </c>
      <c r="B19" s="37">
        <f>SUMIF(carnet3[Gain],"&gt;0",carnet3[Gain])</f>
        <v>0</v>
      </c>
      <c r="C19" s="37">
        <f>SUMIF(carnet3[Gain],"&lt;0",carnet3[Gain])</f>
        <v>0</v>
      </c>
      <c r="D19" s="29"/>
      <c r="F19" s="6"/>
      <c r="H19"/>
      <c r="J19"/>
      <c r="K19" s="36"/>
      <c r="L19" s="35">
        <f>IF(carnet3[[#This Row],['#]]&lt;&gt;"",IF(carnet3[[#This Row],[Lot]]&lt;0,carnet3[[#This Row],[Ouverture]]-carnet3[[#This Row],[Fermeture]],carnet3[[#This Row],[Fermeture]]-carnet3[[#This Row],[Ouverture]]),0)</f>
        <v>0</v>
      </c>
      <c r="M19" s="7">
        <f>M18+carnet3[Dif]</f>
        <v>0</v>
      </c>
      <c r="N19" s="36">
        <f>IF(K19&lt;&gt;"",N18+carnet3[[#This Row],[Gain]],N18)</f>
        <v>0</v>
      </c>
      <c r="O19" s="34">
        <f>IF(carnet3[[#This Row],['#]]&lt;&gt;"",IF(OR(carnet3[[#This Row],[Dif]]&gt;0,carnet3[[#This Row],[Dif]]=0),IF(OR($L18&gt;0,$L18=0),O18+1,1),IF($L18&lt;0,O18-1,-1)),0)</f>
        <v>0</v>
      </c>
      <c r="P19" s="5"/>
    </row>
    <row r="20" spans="1:18" x14ac:dyDescent="0.25">
      <c r="A20" s="23" t="s">
        <v>23</v>
      </c>
      <c r="B20" s="33">
        <f>IF(A5&lt;&gt;0,AVERAGEIF(carnet3[Dif],"&gt;0",carnet3[Dif]),0)</f>
        <v>0</v>
      </c>
      <c r="C20" s="40">
        <f>IF(A5&lt;&gt;0,AVERAGEIF(carnet3[Dif],"&lt;0",carnet3[Dif]),0)</f>
        <v>0</v>
      </c>
      <c r="D20" s="29"/>
      <c r="F20" s="6"/>
      <c r="H20"/>
      <c r="J20"/>
      <c r="K20" s="36"/>
      <c r="L20" s="35">
        <f>IF(carnet3[[#This Row],['#]]&lt;&gt;"",IF(carnet3[[#This Row],[Lot]]&lt;0,carnet3[[#This Row],[Ouverture]]-carnet3[[#This Row],[Fermeture]],carnet3[[#This Row],[Fermeture]]-carnet3[[#This Row],[Ouverture]]),0)</f>
        <v>0</v>
      </c>
      <c r="M20" s="7">
        <f>M19+carnet3[Dif]</f>
        <v>0</v>
      </c>
      <c r="N20" s="36">
        <f>IF(K20&lt;&gt;"",N19+carnet3[[#This Row],[Gain]],N19)</f>
        <v>0</v>
      </c>
      <c r="O20" s="34">
        <f>IF(carnet3[[#This Row],['#]]&lt;&gt;"",IF(OR(carnet3[[#This Row],[Dif]]&gt;0,carnet3[[#This Row],[Dif]]=0),IF(OR($L19&gt;0,$L19=0),O19+1,1),IF($L19&lt;0,O19-1,-1)),0)</f>
        <v>0</v>
      </c>
      <c r="P20" s="5"/>
    </row>
    <row r="21" spans="1:18" x14ac:dyDescent="0.25">
      <c r="A21" s="32" t="s">
        <v>22</v>
      </c>
      <c r="B21" s="33">
        <f>_xlfn.MAXIFS(carnet3[Dif],carnet3[Dif],"&gt;0")</f>
        <v>0</v>
      </c>
      <c r="C21" s="40">
        <f>_xlfn.MINIFS(carnet3[Dif],carnet3[Dif],"&lt;0")</f>
        <v>0</v>
      </c>
      <c r="D21" s="29"/>
      <c r="F21" s="6"/>
      <c r="H21"/>
      <c r="J21"/>
      <c r="K21" s="36"/>
      <c r="L21" s="35">
        <f>IF(carnet3[[#This Row],['#]]&lt;&gt;"",IF(carnet3[[#This Row],[Lot]]&lt;0,carnet3[[#This Row],[Ouverture]]-carnet3[[#This Row],[Fermeture]],carnet3[[#This Row],[Fermeture]]-carnet3[[#This Row],[Ouverture]]),0)</f>
        <v>0</v>
      </c>
      <c r="M21" s="7">
        <f>M20+carnet3[Dif]</f>
        <v>0</v>
      </c>
      <c r="N21" s="36">
        <f>IF(K21&lt;&gt;"",N20+carnet3[[#This Row],[Gain]],N20)</f>
        <v>0</v>
      </c>
      <c r="O21" s="34">
        <f>IF(carnet3[[#This Row],['#]]&lt;&gt;"",IF(OR(carnet3[[#This Row],[Dif]]&gt;0,carnet3[[#This Row],[Dif]]=0),IF(OR($L20&gt;0,$L20=0),O20+1,1),IF($L20&lt;0,O20-1,-1)),0)</f>
        <v>0</v>
      </c>
      <c r="P21" s="5"/>
    </row>
    <row r="22" spans="1:18" x14ac:dyDescent="0.25">
      <c r="A22" s="32" t="s">
        <v>26</v>
      </c>
      <c r="B22" s="33">
        <f>SUMIF(carnet3[Dif],"&gt;0",carnet3[Dif])</f>
        <v>0</v>
      </c>
      <c r="C22" s="40">
        <f>SUMIF(carnet3[Dif],"&lt;0",carnet3[Dif])</f>
        <v>0</v>
      </c>
      <c r="D22" s="29"/>
      <c r="F22" s="6"/>
      <c r="H22"/>
      <c r="J22"/>
      <c r="K22" s="36"/>
      <c r="L22" s="35">
        <f>IF(carnet3[[#This Row],['#]]&lt;&gt;"",IF(carnet3[[#This Row],[Lot]]&lt;0,carnet3[[#This Row],[Ouverture]]-carnet3[[#This Row],[Fermeture]],carnet3[[#This Row],[Fermeture]]-carnet3[[#This Row],[Ouverture]]),0)</f>
        <v>0</v>
      </c>
      <c r="M22" s="7">
        <f>M21+carnet3[Dif]</f>
        <v>0</v>
      </c>
      <c r="N22" s="36">
        <f>IF(K22&lt;&gt;"",N21+carnet3[[#This Row],[Gain]],N21)</f>
        <v>0</v>
      </c>
      <c r="O22" s="34">
        <f>IF(carnet3[[#This Row],['#]]&lt;&gt;"",IF(OR(carnet3[[#This Row],[Dif]]&gt;0,carnet3[[#This Row],[Dif]]=0),IF(OR($L21&gt;0,$L21=0),O21+1,1),IF($L21&lt;0,O21-1,-1)),0)</f>
        <v>0</v>
      </c>
      <c r="P22" s="5"/>
    </row>
    <row r="23" spans="1:18" x14ac:dyDescent="0.25">
      <c r="F23" s="6"/>
      <c r="H23"/>
      <c r="J23"/>
      <c r="K23" s="36"/>
      <c r="L23" s="35">
        <f>IF(carnet3[[#This Row],['#]]&lt;&gt;"",IF(carnet3[[#This Row],[Lot]]&lt;0,carnet3[[#This Row],[Ouverture]]-carnet3[[#This Row],[Fermeture]],carnet3[[#This Row],[Fermeture]]-carnet3[[#This Row],[Ouverture]]),0)</f>
        <v>0</v>
      </c>
      <c r="M23" s="7">
        <f>M22+carnet3[Dif]</f>
        <v>0</v>
      </c>
      <c r="N23" s="36">
        <f>IF(K23&lt;&gt;"",N22+carnet3[[#This Row],[Gain]],N22)</f>
        <v>0</v>
      </c>
      <c r="O23" s="34">
        <f>IF(carnet3[[#This Row],['#]]&lt;&gt;"",IF(OR(carnet3[[#This Row],[Dif]]&gt;0,carnet3[[#This Row],[Dif]]=0),IF(OR($L22&gt;0,$L22=0),O22+1,1),IF($L22&lt;0,O22-1,-1)),0)</f>
        <v>0</v>
      </c>
      <c r="P23" s="5"/>
      <c r="R23" s="2"/>
    </row>
    <row r="24" spans="1:18" x14ac:dyDescent="0.25">
      <c r="A24" s="58" t="s">
        <v>33</v>
      </c>
      <c r="B24" s="59" t="e">
        <f>ABS(B19/C19)</f>
        <v>#DIV/0!</v>
      </c>
      <c r="P24" s="5"/>
    </row>
    <row r="25" spans="1:18" x14ac:dyDescent="0.25">
      <c r="P25" s="5"/>
    </row>
    <row r="26" spans="1:18" x14ac:dyDescent="0.25">
      <c r="P26" s="5"/>
      <c r="R26" s="2"/>
    </row>
    <row r="27" spans="1:18" x14ac:dyDescent="0.25">
      <c r="P27" s="5"/>
    </row>
    <row r="28" spans="1:18" x14ac:dyDescent="0.25">
      <c r="P28" s="5"/>
    </row>
    <row r="29" spans="1:18" x14ac:dyDescent="0.25">
      <c r="P29" s="5"/>
    </row>
    <row r="30" spans="1:18" x14ac:dyDescent="0.25">
      <c r="P30" s="5"/>
    </row>
    <row r="31" spans="1:18" x14ac:dyDescent="0.25">
      <c r="P31" s="5"/>
    </row>
    <row r="32" spans="1:18" x14ac:dyDescent="0.25">
      <c r="P32" s="5"/>
    </row>
    <row r="33" spans="16:16" x14ac:dyDescent="0.25">
      <c r="P33" s="5"/>
    </row>
    <row r="34" spans="16:16" x14ac:dyDescent="0.25">
      <c r="P34" s="5"/>
    </row>
    <row r="35" spans="16:16" x14ac:dyDescent="0.25">
      <c r="P35" s="5"/>
    </row>
    <row r="36" spans="16:16" x14ac:dyDescent="0.25">
      <c r="P36" s="5"/>
    </row>
    <row r="37" spans="16:16" x14ac:dyDescent="0.25">
      <c r="P37" s="5"/>
    </row>
    <row r="38" spans="16:16" x14ac:dyDescent="0.25">
      <c r="P38" s="5"/>
    </row>
    <row r="39" spans="16:16" x14ac:dyDescent="0.25">
      <c r="P39" s="5"/>
    </row>
    <row r="40" spans="16:16" x14ac:dyDescent="0.25">
      <c r="P40" s="5"/>
    </row>
    <row r="41" spans="16:16" x14ac:dyDescent="0.25">
      <c r="P41" s="5"/>
    </row>
  </sheetData>
  <mergeCells count="3">
    <mergeCell ref="A1:O1"/>
    <mergeCell ref="A5:B6"/>
    <mergeCell ref="C5:C6"/>
  </mergeCells>
  <conditionalFormatting sqref="O5:P5 P6:P41 O6:O49">
    <cfRule type="cellIs" dxfId="137" priority="67" operator="lessThan">
      <formula>0</formula>
    </cfRule>
    <cfRule type="cellIs" dxfId="136" priority="68" operator="greaterThan">
      <formula>0</formula>
    </cfRule>
  </conditionalFormatting>
  <conditionalFormatting sqref="N5:N23">
    <cfRule type="cellIs" dxfId="135" priority="45" operator="lessThan">
      <formula>0</formula>
    </cfRule>
    <cfRule type="cellIs" dxfId="134" priority="46" operator="greaterThan">
      <formula>0</formula>
    </cfRule>
  </conditionalFormatting>
  <conditionalFormatting sqref="M5:M23">
    <cfRule type="cellIs" dxfId="133" priority="55" operator="lessThan">
      <formula>0</formula>
    </cfRule>
    <cfRule type="cellIs" dxfId="132" priority="56" operator="greaterThan">
      <formula>0</formula>
    </cfRule>
  </conditionalFormatting>
  <conditionalFormatting sqref="L5:L23">
    <cfRule type="cellIs" dxfId="131" priority="49" operator="lessThan">
      <formula>0</formula>
    </cfRule>
    <cfRule type="cellIs" dxfId="130" priority="50" operator="greaterThan">
      <formula>0</formula>
    </cfRule>
  </conditionalFormatting>
  <conditionalFormatting sqref="B11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C9:D11 B20">
    <cfRule type="cellIs" dxfId="127" priority="25" operator="lessThan">
      <formula>0</formula>
    </cfRule>
    <cfRule type="cellIs" dxfId="126" priority="26" operator="greaterThan">
      <formula>0</formula>
    </cfRule>
  </conditionalFormatting>
  <conditionalFormatting sqref="B9">
    <cfRule type="cellIs" dxfId="125" priority="23" operator="lessThan">
      <formula>0</formula>
    </cfRule>
    <cfRule type="cellIs" dxfId="124" priority="24" operator="greaterThan">
      <formula>0</formula>
    </cfRule>
  </conditionalFormatting>
  <conditionalFormatting sqref="L5:L23">
    <cfRule type="cellIs" dxfId="123" priority="37" operator="lessThan">
      <formula>0</formula>
    </cfRule>
    <cfRule type="cellIs" dxfId="122" priority="38" operator="greaterThan">
      <formula>0</formula>
    </cfRule>
  </conditionalFormatting>
  <conditionalFormatting sqref="B10">
    <cfRule type="cellIs" dxfId="121" priority="19" operator="lessThan">
      <formula>0</formula>
    </cfRule>
    <cfRule type="cellIs" dxfId="120" priority="20" operator="greaterThan">
      <formula>0</formula>
    </cfRule>
  </conditionalFormatting>
  <conditionalFormatting sqref="B21">
    <cfRule type="cellIs" dxfId="119" priority="17" operator="lessThan">
      <formula>0</formula>
    </cfRule>
    <cfRule type="cellIs" dxfId="118" priority="18" operator="greaterThan">
      <formula>0</formula>
    </cfRule>
  </conditionalFormatting>
  <conditionalFormatting sqref="B17:C19">
    <cfRule type="cellIs" dxfId="117" priority="13" operator="lessThan">
      <formula>0</formula>
    </cfRule>
    <cfRule type="cellIs" dxfId="116" priority="14" operator="greaterThan">
      <formula>0</formula>
    </cfRule>
  </conditionalFormatting>
  <conditionalFormatting sqref="B22">
    <cfRule type="cellIs" dxfId="115" priority="15" operator="lessThan">
      <formula>0</formula>
    </cfRule>
    <cfRule type="cellIs" dxfId="114" priority="16" operator="greaterThan">
      <formula>0</formula>
    </cfRule>
  </conditionalFormatting>
  <conditionalFormatting sqref="C20:C22">
    <cfRule type="cellIs" dxfId="113" priority="11" operator="lessThan">
      <formula>0</formula>
    </cfRule>
    <cfRule type="cellIs" dxfId="112" priority="12" operator="greaterThan">
      <formula>0</formula>
    </cfRule>
  </conditionalFormatting>
  <conditionalFormatting sqref="C20:C22">
    <cfRule type="cellIs" dxfId="111" priority="9" operator="lessThan">
      <formula>0</formula>
    </cfRule>
    <cfRule type="cellIs" dxfId="110" priority="10" operator="greaterThan">
      <formula>0</formula>
    </cfRule>
  </conditionalFormatting>
  <conditionalFormatting sqref="K5:K23">
    <cfRule type="cellIs" dxfId="109" priority="1" operator="lessThan">
      <formula>0</formula>
    </cfRule>
    <cfRule type="cellIs" dxfId="108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41"/>
  <sheetViews>
    <sheetView zoomScaleNormal="100" workbookViewId="0">
      <pane ySplit="3" topLeftCell="A4" activePane="bottomLeft" state="frozen"/>
      <selection pane="bottomLeft" activeCell="K5" sqref="K5:K20"/>
    </sheetView>
  </sheetViews>
  <sheetFormatPr baseColWidth="10" defaultRowHeight="15" x14ac:dyDescent="0.25"/>
  <cols>
    <col min="2" max="2" width="12.140625" bestFit="1" customWidth="1"/>
    <col min="3" max="3" width="11.85546875" bestFit="1" customWidth="1"/>
    <col min="4" max="4" width="5.5703125" bestFit="1" customWidth="1"/>
    <col min="5" max="5" width="0.42578125" customWidth="1"/>
    <col min="6" max="6" width="4.28515625" bestFit="1" customWidth="1"/>
    <col min="7" max="7" width="12.7109375" customWidth="1"/>
    <col min="8" max="8" width="12.42578125" style="1" bestFit="1" customWidth="1"/>
    <col min="9" max="9" width="6" bestFit="1" customWidth="1"/>
    <col min="10" max="10" width="12.7109375" style="1" bestFit="1" customWidth="1"/>
    <col min="11" max="11" width="12.7109375" style="1" customWidth="1"/>
    <col min="12" max="12" width="9.5703125" bestFit="1" customWidth="1"/>
    <col min="13" max="13" width="9.5703125" customWidth="1"/>
    <col min="14" max="14" width="12" style="3" customWidth="1"/>
    <col min="15" max="15" width="9" style="3" customWidth="1"/>
    <col min="16" max="16" width="10.140625" style="3" customWidth="1"/>
    <col min="18" max="18" width="12.42578125" customWidth="1"/>
    <col min="19" max="19" width="11.85546875" customWidth="1"/>
    <col min="20" max="20" width="12.28515625" customWidth="1"/>
  </cols>
  <sheetData>
    <row r="1" spans="1:19" ht="15.75" x14ac:dyDescent="0.25">
      <c r="A1" s="60" t="str">
        <f ca="1">MID(CELL("nomfichier"),FIND("]",CELL("nomfichier"))+1,20)</f>
        <v>20 JUIN 2016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4.5" customHeight="1" x14ac:dyDescent="0.25"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9" x14ac:dyDescent="0.25">
      <c r="F3" s="22" t="s">
        <v>13</v>
      </c>
      <c r="G3" s="22" t="s">
        <v>0</v>
      </c>
      <c r="H3" s="22" t="s">
        <v>1</v>
      </c>
      <c r="I3" s="22" t="s">
        <v>25</v>
      </c>
      <c r="J3" s="22" t="s">
        <v>2</v>
      </c>
      <c r="K3" s="22" t="s">
        <v>8</v>
      </c>
      <c r="L3" s="22" t="s">
        <v>3</v>
      </c>
      <c r="M3" s="22" t="s">
        <v>14</v>
      </c>
      <c r="N3" s="22" t="s">
        <v>5</v>
      </c>
      <c r="O3" s="22" t="s">
        <v>24</v>
      </c>
    </row>
    <row r="4" spans="1:19" s="10" customFormat="1" ht="15.75" hidden="1" x14ac:dyDescent="0.25">
      <c r="B4" s="31"/>
      <c r="C4" s="31"/>
      <c r="D4" s="31"/>
      <c r="E4" s="31"/>
      <c r="F4" s="31"/>
      <c r="G4" s="31"/>
      <c r="H4" s="31"/>
      <c r="I4" s="31"/>
      <c r="J4" s="31"/>
      <c r="K4" s="38"/>
      <c r="L4" s="31">
        <f>IF(carnet4[[#This Row],['#]]&lt;&gt;"",IF(carnet4[[#This Row],[Lot]]&lt;0,carnet4[[#This Row],[Ouverture]]-carnet4[[#This Row],[Fermeture]],carnet4[[#This Row],[Fermeture]]-carnet4[[#This Row],[Ouverture]]),0)</f>
        <v>0</v>
      </c>
      <c r="M4" s="31">
        <v>0</v>
      </c>
      <c r="N4" s="31">
        <v>0</v>
      </c>
      <c r="O4" s="31">
        <v>0</v>
      </c>
      <c r="P4" s="31"/>
    </row>
    <row r="5" spans="1:19" ht="15" customHeight="1" x14ac:dyDescent="0.25">
      <c r="A5" s="62">
        <f>MAX(carnet4['#])</f>
        <v>0</v>
      </c>
      <c r="B5" s="62"/>
      <c r="C5" s="61" t="s">
        <v>15</v>
      </c>
      <c r="F5" s="6"/>
      <c r="H5"/>
      <c r="J5"/>
      <c r="K5" s="36"/>
      <c r="L5" s="35">
        <f>IF(carnet4[[#This Row],['#]]&lt;&gt;"",IF(carnet4[[#This Row],[Lot]]&lt;0,carnet4[[#This Row],[Ouverture]]-carnet4[[#This Row],[Fermeture]],carnet4[[#This Row],[Fermeture]]-carnet4[[#This Row],[Ouverture]]),0)</f>
        <v>0</v>
      </c>
      <c r="M5" s="7">
        <f>M4+carnet4[Dif]</f>
        <v>0</v>
      </c>
      <c r="N5" s="36">
        <f>IF(K5&lt;&gt;"",N4+carnet4[[#This Row],[Gain]],N4)</f>
        <v>0</v>
      </c>
      <c r="O5" s="34">
        <f>IF(carnet4[[#This Row],['#]]&lt;&gt;"",IF(OR(carnet4[[#This Row],[Dif]]&gt;0,carnet4[[#This Row],[Dif]]=0),IF(OR($L4&gt;0,$L4=0),O4+1,1),IF($L4&lt;0,O4-1,-1)),0)</f>
        <v>0</v>
      </c>
      <c r="P5" s="5"/>
    </row>
    <row r="6" spans="1:19" ht="15" customHeight="1" x14ac:dyDescent="0.25">
      <c r="A6" s="62"/>
      <c r="B6" s="62"/>
      <c r="C6" s="61"/>
      <c r="F6" s="6"/>
      <c r="H6"/>
      <c r="J6"/>
      <c r="K6" s="36"/>
      <c r="L6" s="35">
        <f>IF(carnet4[[#This Row],['#]]&lt;&gt;"",IF(carnet4[[#This Row],[Lot]]&lt;0,carnet4[[#This Row],[Ouverture]]-carnet4[[#This Row],[Fermeture]],carnet4[[#This Row],[Fermeture]]-carnet4[[#This Row],[Ouverture]]),0)</f>
        <v>0</v>
      </c>
      <c r="M6" s="7">
        <f>M5+carnet4[Dif]</f>
        <v>0</v>
      </c>
      <c r="N6" s="36">
        <f>IF(K6&lt;&gt;"",N5+carnet4[[#This Row],[Gain]],N5)</f>
        <v>0</v>
      </c>
      <c r="O6" s="34">
        <f>IF(carnet4[[#This Row],['#]]&lt;&gt;"",IF(OR(carnet4[[#This Row],[Dif]]&gt;0,carnet4[[#This Row],[Dif]]=0),IF(OR($L5&gt;0,$L5=0),O5+1,1),IF($L5&lt;0,O5-1,-1)),0)</f>
        <v>0</v>
      </c>
      <c r="P6" s="5"/>
    </row>
    <row r="7" spans="1:19" ht="15" customHeight="1" x14ac:dyDescent="0.25">
      <c r="F7" s="6"/>
      <c r="H7"/>
      <c r="J7"/>
      <c r="K7" s="36"/>
      <c r="L7" s="35">
        <f>IF(carnet4[[#This Row],['#]]&lt;&gt;"",IF(carnet4[[#This Row],[Lot]]&lt;0,carnet4[[#This Row],[Ouverture]]-carnet4[[#This Row],[Fermeture]],carnet4[[#This Row],[Fermeture]]-carnet4[[#This Row],[Ouverture]]),0)</f>
        <v>0</v>
      </c>
      <c r="M7" s="7">
        <f>M6+carnet4[Dif]</f>
        <v>0</v>
      </c>
      <c r="N7" s="36">
        <f>IF(K7&lt;&gt;"",N6+carnet4[[#This Row],[Gain]],N6)</f>
        <v>0</v>
      </c>
      <c r="O7" s="34">
        <f>IF(carnet4[[#This Row],['#]]&lt;&gt;"",IF(OR(carnet4[[#This Row],[Dif]]&gt;0,carnet4[[#This Row],[Dif]]=0),IF(OR($L6&gt;0,$L6=0),O6+1,1),IF($L6&lt;0,O6-1,-1)),0)</f>
        <v>0</v>
      </c>
      <c r="P7" s="5"/>
    </row>
    <row r="8" spans="1:19" ht="15" customHeight="1" x14ac:dyDescent="0.25">
      <c r="A8" s="54" t="s">
        <v>21</v>
      </c>
      <c r="B8" s="24" t="s">
        <v>20</v>
      </c>
      <c r="C8" s="24" t="s">
        <v>14</v>
      </c>
      <c r="D8" s="21"/>
      <c r="F8" s="6"/>
      <c r="H8"/>
      <c r="J8"/>
      <c r="K8" s="36"/>
      <c r="L8" s="35">
        <f>IF(carnet4[[#This Row],['#]]&lt;&gt;"",IF(carnet4[[#This Row],[Lot]]&lt;0,carnet4[[#This Row],[Ouverture]]-carnet4[[#This Row],[Fermeture]],carnet4[[#This Row],[Fermeture]]-carnet4[[#This Row],[Ouverture]]),0)</f>
        <v>0</v>
      </c>
      <c r="M8" s="7">
        <f>M7+carnet4[Dif]</f>
        <v>0</v>
      </c>
      <c r="N8" s="36">
        <f>IF(K8&lt;&gt;"",N7+carnet4[[#This Row],[Gain]],N7)</f>
        <v>0</v>
      </c>
      <c r="O8" s="34">
        <f>IF(carnet4[[#This Row],['#]]&lt;&gt;"",IF(OR(carnet4[[#This Row],[Dif]]&gt;0,carnet4[[#This Row],[Dif]]=0),IF(OR($L7&gt;0,$L7=0),O7+1,1),IF($L7&lt;0,O7-1,-1)),0)</f>
        <v>0</v>
      </c>
      <c r="P8" s="5"/>
    </row>
    <row r="9" spans="1:19" x14ac:dyDescent="0.25">
      <c r="A9" s="23" t="s">
        <v>6</v>
      </c>
      <c r="B9" s="14">
        <f>_xlfn.MINIFS(carnet4[Capital],carnet4[Capital],"&lt;&gt;0")</f>
        <v>0</v>
      </c>
      <c r="C9" s="15">
        <f>_xlfn.MINIFS(carnet4[Pts],carnet4[Pts],"&lt;&gt;0")</f>
        <v>0</v>
      </c>
      <c r="D9" s="11"/>
      <c r="F9" s="6"/>
      <c r="H9"/>
      <c r="J9"/>
      <c r="K9" s="36"/>
      <c r="L9" s="35">
        <f>IF(carnet4[[#This Row],['#]]&lt;&gt;"",IF(carnet4[[#This Row],[Lot]]&lt;0,carnet4[[#This Row],[Ouverture]]-carnet4[[#This Row],[Fermeture]],carnet4[[#This Row],[Fermeture]]-carnet4[[#This Row],[Ouverture]]),0)</f>
        <v>0</v>
      </c>
      <c r="M9" s="7">
        <f>M8+carnet4[Dif]</f>
        <v>0</v>
      </c>
      <c r="N9" s="36">
        <f>IF(K9&lt;&gt;"",N8+carnet4[[#This Row],[Gain]],N8)</f>
        <v>0</v>
      </c>
      <c r="O9" s="34">
        <f>IF(carnet4[[#This Row],['#]]&lt;&gt;"",IF(OR(carnet4[[#This Row],[Dif]]&gt;0,carnet4[[#This Row],[Dif]]=0),IF(OR($L8&gt;0,$L8=0),O8+1,1),IF($L8&lt;0,O8-1,-1)),0)</f>
        <v>0</v>
      </c>
      <c r="P9" s="5"/>
    </row>
    <row r="10" spans="1:19" ht="15.75" x14ac:dyDescent="0.25">
      <c r="A10" s="23" t="s">
        <v>4</v>
      </c>
      <c r="B10" s="13">
        <f>SUM(carnet4[Gain])</f>
        <v>0</v>
      </c>
      <c r="C10" s="8">
        <f>SUM(carnet4[Dif])</f>
        <v>0</v>
      </c>
      <c r="D10" s="12"/>
      <c r="F10" s="6"/>
      <c r="H10"/>
      <c r="J10"/>
      <c r="K10" s="36"/>
      <c r="L10" s="35">
        <f>IF(carnet4[[#This Row],['#]]&lt;&gt;"",IF(carnet4[[#This Row],[Lot]]&lt;0,carnet4[[#This Row],[Ouverture]]-carnet4[[#This Row],[Fermeture]],carnet4[[#This Row],[Fermeture]]-carnet4[[#This Row],[Ouverture]]),0)</f>
        <v>0</v>
      </c>
      <c r="M10" s="7">
        <f>M9+carnet4[Dif]</f>
        <v>0</v>
      </c>
      <c r="N10" s="36">
        <f>IF(K10&lt;&gt;"",N9+carnet4[[#This Row],[Gain]],N9)</f>
        <v>0</v>
      </c>
      <c r="O10" s="34">
        <f>IF(carnet4[[#This Row],['#]]&lt;&gt;"",IF(OR(carnet4[[#This Row],[Dif]]&gt;0,carnet4[[#This Row],[Dif]]=0),IF(OR($L9&gt;0,$L9=0),O9+1,1),IF($L9&lt;0,O9-1,-1)),0)</f>
        <v>0</v>
      </c>
      <c r="P10" s="5"/>
    </row>
    <row r="11" spans="1:19" x14ac:dyDescent="0.25">
      <c r="A11" s="23" t="s">
        <v>7</v>
      </c>
      <c r="B11" s="16">
        <f>_xlfn.MAXIFS(carnet4[Capital],carnet4[Capital],"&lt;&gt;0")</f>
        <v>0</v>
      </c>
      <c r="C11" s="17">
        <f>_xlfn.MAXIFS(carnet4[Pts],carnet4[Pts],"&lt;&gt;0")</f>
        <v>0</v>
      </c>
      <c r="D11" s="11"/>
      <c r="F11" s="6"/>
      <c r="H11"/>
      <c r="J11"/>
      <c r="K11" s="36"/>
      <c r="L11" s="35">
        <f>IF(carnet4[[#This Row],['#]]&lt;&gt;"",IF(carnet4[[#This Row],[Lot]]&lt;0,carnet4[[#This Row],[Ouverture]]-carnet4[[#This Row],[Fermeture]],carnet4[[#This Row],[Fermeture]]-carnet4[[#This Row],[Ouverture]]),0)</f>
        <v>0</v>
      </c>
      <c r="M11" s="7">
        <f>M10+carnet4[Dif]</f>
        <v>0</v>
      </c>
      <c r="N11" s="36">
        <f>IF(K11&lt;&gt;"",N10+carnet4[[#This Row],[Gain]],N10)</f>
        <v>0</v>
      </c>
      <c r="O11" s="34">
        <f>IF(carnet4[[#This Row],['#]]&lt;&gt;"",IF(OR(carnet4[[#This Row],[Dif]]&gt;0,carnet4[[#This Row],[Dif]]=0),IF(OR($L10&gt;0,$L10=0),O10+1,1),IF($L10&lt;0,O10-1,-1)),0)</f>
        <v>0</v>
      </c>
      <c r="P11" s="5"/>
    </row>
    <row r="12" spans="1:19" x14ac:dyDescent="0.25">
      <c r="F12" s="6"/>
      <c r="H12"/>
      <c r="J12"/>
      <c r="K12" s="36"/>
      <c r="L12" s="35">
        <f>IF(carnet4[[#This Row],['#]]&lt;&gt;"",IF(carnet4[[#This Row],[Lot]]&lt;0,carnet4[[#This Row],[Ouverture]]-carnet4[[#This Row],[Fermeture]],carnet4[[#This Row],[Fermeture]]-carnet4[[#This Row],[Ouverture]]),0)</f>
        <v>0</v>
      </c>
      <c r="M12" s="7">
        <f>M11+carnet4[Dif]</f>
        <v>0</v>
      </c>
      <c r="N12" s="36">
        <f>IF(K12&lt;&gt;"",N11+carnet4[[#This Row],[Gain]],N11)</f>
        <v>0</v>
      </c>
      <c r="O12" s="34">
        <f>IF(carnet4[[#This Row],['#]]&lt;&gt;"",IF(OR(carnet4[[#This Row],[Dif]]&gt;0,carnet4[[#This Row],[Dif]]=0),IF(OR($L11&gt;0,$L11=0),O11+1,1),IF($L11&lt;0,O11-1,-1)),0)</f>
        <v>0</v>
      </c>
      <c r="P12" s="5"/>
    </row>
    <row r="13" spans="1:19" ht="15.75" x14ac:dyDescent="0.25">
      <c r="A13" s="54" t="s">
        <v>15</v>
      </c>
      <c r="B13" s="24" t="s">
        <v>19</v>
      </c>
      <c r="C13" s="24" t="s">
        <v>18</v>
      </c>
      <c r="D13" s="28" t="s">
        <v>17</v>
      </c>
      <c r="F13" s="6"/>
      <c r="H13"/>
      <c r="J13"/>
      <c r="K13" s="36"/>
      <c r="L13" s="35">
        <f>IF(carnet4[[#This Row],['#]]&lt;&gt;"",IF(carnet4[[#This Row],[Lot]]&lt;0,carnet4[[#This Row],[Ouverture]]-carnet4[[#This Row],[Fermeture]],carnet4[[#This Row],[Fermeture]]-carnet4[[#This Row],[Ouverture]]),0)</f>
        <v>0</v>
      </c>
      <c r="M13" s="7">
        <f>M12+carnet4[Dif]</f>
        <v>0</v>
      </c>
      <c r="N13" s="36">
        <f>IF(K13&lt;&gt;"",N12+carnet4[[#This Row],[Gain]],N12)</f>
        <v>0</v>
      </c>
      <c r="O13" s="34">
        <f>IF(carnet4[[#This Row],['#]]&lt;&gt;"",IF(OR(carnet4[[#This Row],[Dif]]&gt;0,carnet4[[#This Row],[Dif]]=0),IF(OR($L12&gt;0,$L12=0),O12+1,1),IF($L12&lt;0,O12-1,-1)),0)</f>
        <v>0</v>
      </c>
      <c r="P13" s="5"/>
    </row>
    <row r="14" spans="1:19" x14ac:dyDescent="0.25">
      <c r="A14" s="23" t="s">
        <v>9</v>
      </c>
      <c r="B14" s="18">
        <f>COUNTIF(carnet4[Dif],"&gt;0")</f>
        <v>0</v>
      </c>
      <c r="C14" s="25">
        <f>COUNTIF(carnet4[Dif],"&lt;0")</f>
        <v>0</v>
      </c>
      <c r="D14" s="29">
        <f>IF($A$5&lt;&gt;0,COUNTIF(carnet4[Dif],"=0,0"),0)</f>
        <v>0</v>
      </c>
      <c r="F14" s="6"/>
      <c r="H14"/>
      <c r="J14"/>
      <c r="K14" s="36"/>
      <c r="L14" s="35">
        <f>IF(carnet4[[#This Row],['#]]&lt;&gt;"",IF(carnet4[[#This Row],[Lot]]&lt;0,carnet4[[#This Row],[Ouverture]]-carnet4[[#This Row],[Fermeture]],carnet4[[#This Row],[Fermeture]]-carnet4[[#This Row],[Ouverture]]),0)</f>
        <v>0</v>
      </c>
      <c r="M14" s="7">
        <f>M13+carnet4[Dif]</f>
        <v>0</v>
      </c>
      <c r="N14" s="36">
        <f>IF(K14&lt;&gt;"",N13+carnet4[[#This Row],[Gain]],N13)</f>
        <v>0</v>
      </c>
      <c r="O14" s="34">
        <f>IF(carnet4[[#This Row],['#]]&lt;&gt;"",IF(OR(carnet4[[#This Row],[Dif]]&gt;0,carnet4[[#This Row],[Dif]]=0),IF(OR($L13&gt;0,$L13=0),O13+1,1),IF($L13&lt;0,O13-1,-1)),0)</f>
        <v>0</v>
      </c>
      <c r="P14" s="5"/>
    </row>
    <row r="15" spans="1:19" ht="15.75" x14ac:dyDescent="0.25">
      <c r="A15" s="23" t="s">
        <v>10</v>
      </c>
      <c r="B15" s="19">
        <f>IF($A$5&lt;&gt;0,B14/$A$5,0)</f>
        <v>0</v>
      </c>
      <c r="C15" s="26">
        <f>IF($A$5&lt;&gt;0,C14/$A$5,0)</f>
        <v>0</v>
      </c>
      <c r="D15" s="30">
        <f>IF($A$5&lt;&gt;0,D14/$A$5,0)</f>
        <v>0</v>
      </c>
      <c r="F15" s="6"/>
      <c r="H15"/>
      <c r="J15"/>
      <c r="K15" s="36"/>
      <c r="L15" s="35">
        <f>IF(carnet4[[#This Row],['#]]&lt;&gt;"",IF(carnet4[[#This Row],[Lot]]&lt;0,carnet4[[#This Row],[Ouverture]]-carnet4[[#This Row],[Fermeture]],carnet4[[#This Row],[Fermeture]]-carnet4[[#This Row],[Ouverture]]),0)</f>
        <v>0</v>
      </c>
      <c r="M15" s="7">
        <f>M14+carnet4[Dif]</f>
        <v>0</v>
      </c>
      <c r="N15" s="36">
        <f>IF(K15&lt;&gt;"",N14+carnet4[[#This Row],[Gain]],N14)</f>
        <v>0</v>
      </c>
      <c r="O15" s="34">
        <f>IF(carnet4[[#This Row],['#]]&lt;&gt;"",IF(OR(carnet4[[#This Row],[Dif]]&gt;0,carnet4[[#This Row],[Dif]]=0),IF(OR($L14&gt;0,$L14=0),O14+1,1),IF($L14&lt;0,O14-1,-1)),0)</f>
        <v>0</v>
      </c>
      <c r="P15" s="5"/>
      <c r="R15" s="4"/>
    </row>
    <row r="16" spans="1:19" x14ac:dyDescent="0.25">
      <c r="A16" s="23" t="s">
        <v>24</v>
      </c>
      <c r="B16" s="20">
        <f>MAX(carnet4[Série])</f>
        <v>0</v>
      </c>
      <c r="C16" s="27">
        <f>ABS(MIN(carnet4[Série]))</f>
        <v>0</v>
      </c>
      <c r="D16" s="29"/>
      <c r="F16" s="6"/>
      <c r="H16"/>
      <c r="J16"/>
      <c r="K16" s="36"/>
      <c r="L16" s="35">
        <f>IF(carnet4[[#This Row],['#]]&lt;&gt;"",IF(carnet4[[#This Row],[Lot]]&lt;0,carnet4[[#This Row],[Ouverture]]-carnet4[[#This Row],[Fermeture]],carnet4[[#This Row],[Fermeture]]-carnet4[[#This Row],[Ouverture]]),0)</f>
        <v>0</v>
      </c>
      <c r="M16" s="7">
        <f>M15+carnet4[Dif]</f>
        <v>0</v>
      </c>
      <c r="N16" s="36">
        <f>IF(K16&lt;&gt;"",N15+carnet4[[#This Row],[Gain]],N15)</f>
        <v>0</v>
      </c>
      <c r="O16" s="34">
        <f>IF(carnet4[[#This Row],['#]]&lt;&gt;"",IF(OR(carnet4[[#This Row],[Dif]]&gt;0,carnet4[[#This Row],[Dif]]=0),IF(OR($L15&gt;0,$L15=0),O15+1,1),IF($L15&lt;0,O15-1,-1)),0)</f>
        <v>0</v>
      </c>
      <c r="P16" s="5"/>
    </row>
    <row r="17" spans="1:18" x14ac:dyDescent="0.25">
      <c r="A17" s="23" t="s">
        <v>11</v>
      </c>
      <c r="B17" s="37">
        <f>IF(A5&lt;&gt;0,AVERAGEIF(carnet4[Dif],"&gt;0",carnet4[Gain]),0)</f>
        <v>0</v>
      </c>
      <c r="C17" s="37">
        <f>IF(MIN(carnet4[Dif])&lt;0,IF(A5&lt;&gt;0,AVERAGEIF(carnet4[Dif],"&lt;0",carnet4[Gain]),0),0)</f>
        <v>0</v>
      </c>
      <c r="D17" s="29"/>
      <c r="F17" s="6"/>
      <c r="H17"/>
      <c r="J17"/>
      <c r="K17" s="36"/>
      <c r="L17" s="35">
        <f>IF(carnet4[[#This Row],['#]]&lt;&gt;"",IF(carnet4[[#This Row],[Lot]]&lt;0,carnet4[[#This Row],[Ouverture]]-carnet4[[#This Row],[Fermeture]],carnet4[[#This Row],[Fermeture]]-carnet4[[#This Row],[Ouverture]]),0)</f>
        <v>0</v>
      </c>
      <c r="M17" s="7">
        <f>M16+carnet4[Dif]</f>
        <v>0</v>
      </c>
      <c r="N17" s="36">
        <f>IF(K17&lt;&gt;"",N16+carnet4[[#This Row],[Gain]],N16)</f>
        <v>0</v>
      </c>
      <c r="O17" s="34">
        <f>IF(carnet4[[#This Row],['#]]&lt;&gt;"",IF(OR(carnet4[[#This Row],[Dif]]&gt;0,carnet4[[#This Row],[Dif]]=0),IF(OR($L16&gt;0,$L16=0),O16+1,1),IF($L16&lt;0,O16-1,-1)),0)</f>
        <v>0</v>
      </c>
      <c r="P17" s="5"/>
    </row>
    <row r="18" spans="1:18" x14ac:dyDescent="0.25">
      <c r="A18" s="23" t="s">
        <v>16</v>
      </c>
      <c r="B18" s="37">
        <f>_xlfn.MAXIFS(carnet4[Gain],carnet4[Gain],"&gt;0")</f>
        <v>0</v>
      </c>
      <c r="C18" s="37">
        <f>_xlfn.MINIFS(carnet4[Gain],carnet4[Gain],"&lt;0")</f>
        <v>0</v>
      </c>
      <c r="D18" s="29"/>
      <c r="F18" s="6"/>
      <c r="H18"/>
      <c r="J18"/>
      <c r="K18" s="36"/>
      <c r="L18" s="35">
        <f>IF(carnet4[[#This Row],['#]]&lt;&gt;"",IF(carnet4[[#This Row],[Lot]]&lt;0,carnet4[[#This Row],[Ouverture]]-carnet4[[#This Row],[Fermeture]],carnet4[[#This Row],[Fermeture]]-carnet4[[#This Row],[Ouverture]]),0)</f>
        <v>0</v>
      </c>
      <c r="M18" s="7">
        <f>M17+carnet4[Dif]</f>
        <v>0</v>
      </c>
      <c r="N18" s="36">
        <f>IF(K18&lt;&gt;"",N17+carnet4[[#This Row],[Gain]],N17)</f>
        <v>0</v>
      </c>
      <c r="O18" s="34">
        <f>IF(carnet4[[#This Row],['#]]&lt;&gt;"",IF(OR(carnet4[[#This Row],[Dif]]&gt;0,carnet4[[#This Row],[Dif]]=0),IF(OR($L17&gt;0,$L17=0),O17+1,1),IF($L17&lt;0,O17-1,-1)),0)</f>
        <v>0</v>
      </c>
      <c r="P18" s="5"/>
    </row>
    <row r="19" spans="1:18" x14ac:dyDescent="0.25">
      <c r="A19" s="32" t="s">
        <v>12</v>
      </c>
      <c r="B19" s="37">
        <f>SUMIF(carnet4[Gain],"&gt;0",carnet4[Gain])</f>
        <v>0</v>
      </c>
      <c r="C19" s="37">
        <f>SUMIF(carnet4[Gain],"&lt;0",carnet4[Gain])</f>
        <v>0</v>
      </c>
      <c r="D19" s="29"/>
      <c r="F19" s="6"/>
      <c r="H19"/>
      <c r="J19"/>
      <c r="K19" s="36"/>
      <c r="L19" s="35">
        <f>IF(carnet4[[#This Row],['#]]&lt;&gt;"",IF(carnet4[[#This Row],[Lot]]&lt;0,carnet4[[#This Row],[Ouverture]]-carnet4[[#This Row],[Fermeture]],carnet4[[#This Row],[Fermeture]]-carnet4[[#This Row],[Ouverture]]),0)</f>
        <v>0</v>
      </c>
      <c r="M19" s="7">
        <f>M18+carnet4[Dif]</f>
        <v>0</v>
      </c>
      <c r="N19" s="36">
        <f>IF(K19&lt;&gt;"",N18+carnet4[[#This Row],[Gain]],N18)</f>
        <v>0</v>
      </c>
      <c r="O19" s="34">
        <f>IF(carnet4[[#This Row],['#]]&lt;&gt;"",IF(OR(carnet4[[#This Row],[Dif]]&gt;0,carnet4[[#This Row],[Dif]]=0),IF(OR($L18&gt;0,$L18=0),O18+1,1),IF($L18&lt;0,O18-1,-1)),0)</f>
        <v>0</v>
      </c>
      <c r="P19" s="5"/>
    </row>
    <row r="20" spans="1:18" x14ac:dyDescent="0.25">
      <c r="A20" s="23" t="s">
        <v>23</v>
      </c>
      <c r="B20" s="33">
        <f>IF(A5&lt;&gt;0,AVERAGEIF(carnet4[Dif],"&gt;0",carnet4[Dif]),0)</f>
        <v>0</v>
      </c>
      <c r="C20" s="40">
        <f>IF(A5&lt;&gt;0,AVERAGEIF(carnet4[Dif],"&lt;0",carnet4[Dif]),0)</f>
        <v>0</v>
      </c>
      <c r="D20" s="29"/>
      <c r="F20" s="6"/>
      <c r="H20"/>
      <c r="J20"/>
      <c r="K20" s="36"/>
      <c r="L20" s="35">
        <f>IF(carnet4[[#This Row],['#]]&lt;&gt;"",IF(carnet4[[#This Row],[Lot]]&lt;0,carnet4[[#This Row],[Ouverture]]-carnet4[[#This Row],[Fermeture]],carnet4[[#This Row],[Fermeture]]-carnet4[[#This Row],[Ouverture]]),0)</f>
        <v>0</v>
      </c>
      <c r="M20" s="7">
        <f>M19+carnet4[Dif]</f>
        <v>0</v>
      </c>
      <c r="N20" s="36">
        <f>IF(K20&lt;&gt;"",N19+carnet4[[#This Row],[Gain]],N19)</f>
        <v>0</v>
      </c>
      <c r="O20" s="34">
        <f>IF(carnet4[[#This Row],['#]]&lt;&gt;"",IF(OR(carnet4[[#This Row],[Dif]]&gt;0,carnet4[[#This Row],[Dif]]=0),IF(OR($L19&gt;0,$L19=0),O19+1,1),IF($L19&lt;0,O19-1,-1)),0)</f>
        <v>0</v>
      </c>
      <c r="P20" s="5"/>
    </row>
    <row r="21" spans="1:18" x14ac:dyDescent="0.25">
      <c r="A21" s="32" t="s">
        <v>22</v>
      </c>
      <c r="B21" s="33">
        <f>_xlfn.MAXIFS(carnet4[Dif],carnet4[Dif],"&gt;0")</f>
        <v>0</v>
      </c>
      <c r="C21" s="40">
        <f>_xlfn.MINIFS(carnet4[Dif],carnet4[Dif],"&lt;0")</f>
        <v>0</v>
      </c>
      <c r="D21" s="29"/>
      <c r="P21" s="5"/>
    </row>
    <row r="22" spans="1:18" x14ac:dyDescent="0.25">
      <c r="A22" s="32" t="s">
        <v>26</v>
      </c>
      <c r="B22" s="33">
        <f>SUMIF(carnet4[Dif],"&gt;0",carnet4[Dif])</f>
        <v>0</v>
      </c>
      <c r="C22" s="40">
        <f>SUMIF(carnet4[Dif],"&lt;0",carnet4[Dif])</f>
        <v>0</v>
      </c>
      <c r="D22" s="29"/>
      <c r="P22" s="5"/>
    </row>
    <row r="23" spans="1:18" x14ac:dyDescent="0.25">
      <c r="P23" s="5"/>
      <c r="R23" s="2"/>
    </row>
    <row r="24" spans="1:18" x14ac:dyDescent="0.25">
      <c r="P24" s="5"/>
    </row>
    <row r="25" spans="1:18" x14ac:dyDescent="0.25">
      <c r="P25" s="5"/>
    </row>
    <row r="26" spans="1:18" x14ac:dyDescent="0.25">
      <c r="P26" s="5"/>
      <c r="R26" s="2"/>
    </row>
    <row r="27" spans="1:18" x14ac:dyDescent="0.25">
      <c r="P27" s="5"/>
    </row>
    <row r="28" spans="1:18" x14ac:dyDescent="0.25">
      <c r="P28" s="5"/>
    </row>
    <row r="29" spans="1:18" x14ac:dyDescent="0.25">
      <c r="P29" s="5"/>
    </row>
    <row r="30" spans="1:18" x14ac:dyDescent="0.25">
      <c r="P30" s="5"/>
    </row>
    <row r="31" spans="1:18" x14ac:dyDescent="0.25">
      <c r="P31" s="5"/>
    </row>
    <row r="32" spans="1:18" x14ac:dyDescent="0.25">
      <c r="P32" s="5"/>
    </row>
    <row r="33" spans="16:16" x14ac:dyDescent="0.25">
      <c r="P33" s="5"/>
    </row>
    <row r="34" spans="16:16" x14ac:dyDescent="0.25">
      <c r="P34" s="5"/>
    </row>
    <row r="35" spans="16:16" x14ac:dyDescent="0.25">
      <c r="P35" s="5"/>
    </row>
    <row r="36" spans="16:16" x14ac:dyDescent="0.25">
      <c r="P36" s="5"/>
    </row>
    <row r="37" spans="16:16" x14ac:dyDescent="0.25">
      <c r="P37" s="5"/>
    </row>
    <row r="38" spans="16:16" x14ac:dyDescent="0.25">
      <c r="P38" s="5"/>
    </row>
    <row r="39" spans="16:16" x14ac:dyDescent="0.25">
      <c r="P39" s="5"/>
    </row>
    <row r="40" spans="16:16" x14ac:dyDescent="0.25">
      <c r="P40" s="5"/>
    </row>
    <row r="41" spans="16:16" x14ac:dyDescent="0.25">
      <c r="P41" s="5"/>
    </row>
  </sheetData>
  <mergeCells count="3">
    <mergeCell ref="A5:B6"/>
    <mergeCell ref="C5:C6"/>
    <mergeCell ref="A1:S1"/>
  </mergeCells>
  <conditionalFormatting sqref="O5:P5 P6:P41 O6:O46">
    <cfRule type="cellIs" dxfId="97" priority="55" operator="lessThan">
      <formula>0</formula>
    </cfRule>
    <cfRule type="cellIs" dxfId="96" priority="56" operator="greaterThan">
      <formula>0</formula>
    </cfRule>
  </conditionalFormatting>
  <conditionalFormatting sqref="L5:L20">
    <cfRule type="cellIs" dxfId="95" priority="31" operator="lessThan">
      <formula>0</formula>
    </cfRule>
    <cfRule type="cellIs" dxfId="94" priority="32" operator="greaterThan">
      <formula>0</formula>
    </cfRule>
  </conditionalFormatting>
  <conditionalFormatting sqref="M5:M20">
    <cfRule type="cellIs" dxfId="93" priority="47" operator="lessThan">
      <formula>0</formula>
    </cfRule>
    <cfRule type="cellIs" dxfId="92" priority="48" operator="greaterThan">
      <formula>0</formula>
    </cfRule>
  </conditionalFormatting>
  <conditionalFormatting sqref="L5:L20">
    <cfRule type="cellIs" dxfId="91" priority="41" operator="lessThan">
      <formula>0</formula>
    </cfRule>
    <cfRule type="cellIs" dxfId="90" priority="42" operator="greaterThan">
      <formula>0</formula>
    </cfRule>
  </conditionalFormatting>
  <conditionalFormatting sqref="N5:N20">
    <cfRule type="cellIs" dxfId="89" priority="39" operator="lessThan">
      <formula>0</formula>
    </cfRule>
    <cfRule type="cellIs" dxfId="88" priority="40" operator="greaterThan">
      <formula>0</formula>
    </cfRule>
  </conditionalFormatting>
  <conditionalFormatting sqref="B11">
    <cfRule type="cellIs" dxfId="87" priority="15" operator="lessThan">
      <formula>0</formula>
    </cfRule>
    <cfRule type="cellIs" dxfId="86" priority="16" operator="greaterThan">
      <formula>0</formula>
    </cfRule>
  </conditionalFormatting>
  <conditionalFormatting sqref="C9:D11 B20">
    <cfRule type="cellIs" dxfId="85" priority="19" operator="lessThan">
      <formula>0</formula>
    </cfRule>
    <cfRule type="cellIs" dxfId="84" priority="20" operator="greaterThan">
      <formula>0</formula>
    </cfRule>
  </conditionalFormatting>
  <conditionalFormatting sqref="C20:C22">
    <cfRule type="cellIs" dxfId="83" priority="5" operator="lessThan">
      <formula>0</formula>
    </cfRule>
    <cfRule type="cellIs" dxfId="82" priority="6" operator="greaterThan">
      <formula>0</formula>
    </cfRule>
  </conditionalFormatting>
  <conditionalFormatting sqref="C20:C22">
    <cfRule type="cellIs" dxfId="81" priority="3" operator="lessThan">
      <formula>0</formula>
    </cfRule>
    <cfRule type="cellIs" dxfId="80" priority="4" operator="greaterThan">
      <formula>0</formula>
    </cfRule>
  </conditionalFormatting>
  <conditionalFormatting sqref="B9">
    <cfRule type="cellIs" dxfId="79" priority="17" operator="lessThan">
      <formula>0</formula>
    </cfRule>
    <cfRule type="cellIs" dxfId="78" priority="18" operator="greaterThan">
      <formula>0</formula>
    </cfRule>
  </conditionalFormatting>
  <conditionalFormatting sqref="B10">
    <cfRule type="cellIs" dxfId="77" priority="13" operator="lessThan">
      <formula>0</formula>
    </cfRule>
    <cfRule type="cellIs" dxfId="76" priority="14" operator="greaterThan">
      <formula>0</formula>
    </cfRule>
  </conditionalFormatting>
  <conditionalFormatting sqref="B21">
    <cfRule type="cellIs" dxfId="75" priority="11" operator="lessThan">
      <formula>0</formula>
    </cfRule>
    <cfRule type="cellIs" dxfId="74" priority="12" operator="greaterThan">
      <formula>0</formula>
    </cfRule>
  </conditionalFormatting>
  <conditionalFormatting sqref="B17:C19">
    <cfRule type="cellIs" dxfId="73" priority="7" operator="lessThan">
      <formula>0</formula>
    </cfRule>
    <cfRule type="cellIs" dxfId="72" priority="8" operator="greaterThan">
      <formula>0</formula>
    </cfRule>
  </conditionalFormatting>
  <conditionalFormatting sqref="B22">
    <cfRule type="cellIs" dxfId="71" priority="9" operator="lessThan">
      <formula>0</formula>
    </cfRule>
    <cfRule type="cellIs" dxfId="70" priority="10" operator="greaterThan">
      <formula>0</formula>
    </cfRule>
  </conditionalFormatting>
  <conditionalFormatting sqref="K5:K20">
    <cfRule type="cellIs" dxfId="69" priority="1" operator="lessThan">
      <formula>0</formula>
    </cfRule>
    <cfRule type="cellIs" dxfId="68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1"/>
  <sheetViews>
    <sheetView zoomScaleNormal="100" workbookViewId="0">
      <pane ySplit="3" topLeftCell="A4" activePane="bottomLeft" state="frozen"/>
      <selection pane="bottomLeft" activeCell="I31" sqref="I31"/>
    </sheetView>
  </sheetViews>
  <sheetFormatPr baseColWidth="10" defaultRowHeight="15" x14ac:dyDescent="0.25"/>
  <cols>
    <col min="2" max="2" width="12.140625" bestFit="1" customWidth="1"/>
    <col min="3" max="3" width="11.85546875" bestFit="1" customWidth="1"/>
    <col min="4" max="4" width="5.5703125" bestFit="1" customWidth="1"/>
    <col min="5" max="5" width="0.42578125" customWidth="1"/>
    <col min="6" max="6" width="10.7109375" bestFit="1" customWidth="1"/>
    <col min="7" max="7" width="12.7109375" customWidth="1"/>
    <col min="8" max="8" width="12.42578125" style="1" bestFit="1" customWidth="1"/>
    <col min="9" max="9" width="6" bestFit="1" customWidth="1"/>
    <col min="10" max="10" width="12.7109375" style="1" bestFit="1" customWidth="1"/>
    <col min="11" max="11" width="12.7109375" style="1" customWidth="1"/>
    <col min="12" max="12" width="9.5703125" bestFit="1" customWidth="1"/>
    <col min="13" max="13" width="9.5703125" customWidth="1"/>
    <col min="14" max="14" width="12" style="3" customWidth="1"/>
    <col min="15" max="15" width="9" style="3" customWidth="1"/>
    <col min="16" max="16" width="10.140625" style="3" customWidth="1"/>
    <col min="18" max="18" width="12.42578125" customWidth="1"/>
    <col min="19" max="19" width="11.85546875" customWidth="1"/>
    <col min="20" max="20" width="12.28515625" customWidth="1"/>
  </cols>
  <sheetData>
    <row r="1" spans="1:19" ht="15.75" x14ac:dyDescent="0.25">
      <c r="A1" s="60" t="str">
        <f ca="1">MID(CELL("nomfichier"),FIND("]",CELL("nomfichier"))+1,20)</f>
        <v>20 JUIN 2016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4.5" customHeight="1" x14ac:dyDescent="0.25"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9" x14ac:dyDescent="0.25">
      <c r="F3" s="22" t="s">
        <v>13</v>
      </c>
      <c r="G3" s="22" t="s">
        <v>0</v>
      </c>
      <c r="H3" s="22" t="s">
        <v>1</v>
      </c>
      <c r="I3" s="22" t="s">
        <v>25</v>
      </c>
      <c r="J3" s="22" t="s">
        <v>2</v>
      </c>
      <c r="K3" s="22" t="s">
        <v>8</v>
      </c>
      <c r="L3" s="22" t="s">
        <v>3</v>
      </c>
      <c r="M3" s="22" t="s">
        <v>14</v>
      </c>
      <c r="N3" s="22" t="s">
        <v>5</v>
      </c>
      <c r="O3" s="22" t="s">
        <v>24</v>
      </c>
    </row>
    <row r="4" spans="1:19" s="10" customFormat="1" ht="15.75" hidden="1" x14ac:dyDescent="0.25">
      <c r="B4" s="31"/>
      <c r="C4" s="31"/>
      <c r="D4" s="31"/>
      <c r="E4" s="31"/>
      <c r="F4" s="31"/>
      <c r="G4" s="31"/>
      <c r="H4" s="31"/>
      <c r="I4" s="31"/>
      <c r="J4" s="31"/>
      <c r="K4" s="38"/>
      <c r="L4" s="31">
        <f>IF(carnet5[[#This Row],['#]]&lt;&gt;"",IF(carnet5[[#This Row],[Lot]]&lt;0,carnet5[[#This Row],[Ouverture]]-carnet5[[#This Row],[Fermeture]],carnet5[[#This Row],[Fermeture]]-carnet5[[#This Row],[Ouverture]]),0)</f>
        <v>0</v>
      </c>
      <c r="M4" s="31">
        <v>0</v>
      </c>
      <c r="N4" s="31">
        <v>0</v>
      </c>
      <c r="O4" s="31">
        <v>0</v>
      </c>
      <c r="P4" s="31"/>
    </row>
    <row r="5" spans="1:19" ht="15" customHeight="1" x14ac:dyDescent="0.25">
      <c r="A5" s="62">
        <f>MAX(carnet5['#])</f>
        <v>0</v>
      </c>
      <c r="B5" s="62"/>
      <c r="C5" s="61" t="s">
        <v>15</v>
      </c>
      <c r="F5" s="6"/>
      <c r="H5"/>
      <c r="J5"/>
      <c r="K5" s="36"/>
      <c r="L5" s="35">
        <f>IF(carnet5[[#This Row],['#]]&lt;&gt;"",IF(carnet5[[#This Row],[Lot]]&lt;0,carnet5[[#This Row],[Ouverture]]-carnet5[[#This Row],[Fermeture]],carnet5[[#This Row],[Fermeture]]-carnet5[[#This Row],[Ouverture]]),0)</f>
        <v>0</v>
      </c>
      <c r="M5" s="7">
        <f>M4+carnet5[Dif]</f>
        <v>0</v>
      </c>
      <c r="N5" s="36">
        <f>IF(K5&lt;&gt;"",N4+carnet5[[#This Row],[Gain]],N4)</f>
        <v>0</v>
      </c>
      <c r="O5" s="34">
        <f>IF(carnet5[[#This Row],['#]]&lt;&gt;"",IF(OR(carnet5[[#This Row],[Dif]]&gt;0,carnet5[[#This Row],[Dif]]=0),IF(OR($L4&gt;0,$L4=0),O4+1,1),IF($L4&lt;0,O4-1,-1)),0)</f>
        <v>0</v>
      </c>
      <c r="P5" s="5"/>
    </row>
    <row r="6" spans="1:19" ht="15" customHeight="1" x14ac:dyDescent="0.25">
      <c r="A6" s="62"/>
      <c r="B6" s="62"/>
      <c r="C6" s="61"/>
      <c r="F6" s="6"/>
      <c r="H6"/>
      <c r="J6"/>
      <c r="K6" s="36"/>
      <c r="L6" s="35">
        <f>IF(carnet5[[#This Row],['#]]&lt;&gt;"",IF(carnet5[[#This Row],[Lot]]&lt;0,carnet5[[#This Row],[Ouverture]]-carnet5[[#This Row],[Fermeture]],carnet5[[#This Row],[Fermeture]]-carnet5[[#This Row],[Ouverture]]),0)</f>
        <v>0</v>
      </c>
      <c r="M6" s="7">
        <f>M5+carnet5[Dif]</f>
        <v>0</v>
      </c>
      <c r="N6" s="36">
        <f>IF(K6&lt;&gt;"",N5+carnet5[[#This Row],[Gain]],N5)</f>
        <v>0</v>
      </c>
      <c r="O6" s="34">
        <f>IF(carnet5[[#This Row],['#]]&lt;&gt;"",IF(OR(carnet5[[#This Row],[Dif]]&gt;0,carnet5[[#This Row],[Dif]]=0),IF(OR($L5&gt;0,$L5=0),O5+1,1),IF($L5&lt;0,O5-1,-1)),0)</f>
        <v>0</v>
      </c>
      <c r="P6" s="5"/>
    </row>
    <row r="7" spans="1:19" x14ac:dyDescent="0.25">
      <c r="F7" s="6"/>
      <c r="H7"/>
      <c r="J7"/>
      <c r="K7" s="36"/>
      <c r="L7" s="35">
        <f>IF(carnet5[[#This Row],['#]]&lt;&gt;"",IF(carnet5[[#This Row],[Lot]]&lt;0,carnet5[[#This Row],[Ouverture]]-carnet5[[#This Row],[Fermeture]],carnet5[[#This Row],[Fermeture]]-carnet5[[#This Row],[Ouverture]]),0)</f>
        <v>0</v>
      </c>
      <c r="M7" s="7">
        <f>M6+carnet5[Dif]</f>
        <v>0</v>
      </c>
      <c r="N7" s="36">
        <f>IF(K7&lt;&gt;"",N6+carnet5[[#This Row],[Gain]],N6)</f>
        <v>0</v>
      </c>
      <c r="O7" s="34">
        <f>IF(carnet5[[#This Row],['#]]&lt;&gt;"",IF(OR(carnet5[[#This Row],[Dif]]&gt;0,carnet5[[#This Row],[Dif]]=0),IF(OR($L6&gt;0,$L6=0),O6+1,1),IF($L6&lt;0,O6-1,-1)),0)</f>
        <v>0</v>
      </c>
      <c r="P7" s="5"/>
    </row>
    <row r="8" spans="1:19" ht="15.75" x14ac:dyDescent="0.25">
      <c r="A8" s="39" t="s">
        <v>21</v>
      </c>
      <c r="B8" s="24" t="s">
        <v>20</v>
      </c>
      <c r="C8" s="24" t="s">
        <v>14</v>
      </c>
      <c r="D8" s="21"/>
      <c r="F8" s="6"/>
      <c r="H8"/>
      <c r="J8"/>
      <c r="K8" s="36"/>
      <c r="L8" s="35">
        <f>IF(carnet5[[#This Row],['#]]&lt;&gt;"",IF(carnet5[[#This Row],[Lot]]&lt;0,carnet5[[#This Row],[Ouverture]]-carnet5[[#This Row],[Fermeture]],carnet5[[#This Row],[Fermeture]]-carnet5[[#This Row],[Ouverture]]),0)</f>
        <v>0</v>
      </c>
      <c r="M8" s="7">
        <f>M7+carnet5[Dif]</f>
        <v>0</v>
      </c>
      <c r="N8" s="36">
        <f>IF(K8&lt;&gt;"",N7+carnet5[[#This Row],[Gain]],N7)</f>
        <v>0</v>
      </c>
      <c r="O8" s="34">
        <f>IF(carnet5[[#This Row],['#]]&lt;&gt;"",IF(OR(carnet5[[#This Row],[Dif]]&gt;0,carnet5[[#This Row],[Dif]]=0),IF(OR($L7&gt;0,$L7=0),O7+1,1),IF($L7&lt;0,O7-1,-1)),0)</f>
        <v>0</v>
      </c>
      <c r="P8" s="5"/>
    </row>
    <row r="9" spans="1:19" x14ac:dyDescent="0.25">
      <c r="A9" s="23" t="s">
        <v>6</v>
      </c>
      <c r="B9" s="14">
        <f>_xlfn.MINIFS(carnet5[Capital],carnet5[Capital],"&lt;&gt;0")</f>
        <v>0</v>
      </c>
      <c r="C9" s="15">
        <f>_xlfn.MINIFS(carnet5[Pts],carnet5[Pts],"&lt;&gt;0")</f>
        <v>0</v>
      </c>
      <c r="D9" s="11"/>
      <c r="F9" s="6"/>
      <c r="H9"/>
      <c r="J9"/>
      <c r="K9" s="36"/>
      <c r="L9" s="35">
        <f>IF(carnet5[[#This Row],['#]]&lt;&gt;"",IF(carnet5[[#This Row],[Lot]]&lt;0,carnet5[[#This Row],[Ouverture]]-carnet5[[#This Row],[Fermeture]],carnet5[[#This Row],[Fermeture]]-carnet5[[#This Row],[Ouverture]]),0)</f>
        <v>0</v>
      </c>
      <c r="M9" s="7">
        <f>M8+carnet5[Dif]</f>
        <v>0</v>
      </c>
      <c r="N9" s="36">
        <f>IF(K9&lt;&gt;"",N8+carnet5[[#This Row],[Gain]],N8)</f>
        <v>0</v>
      </c>
      <c r="O9" s="34">
        <f>IF(carnet5[[#This Row],['#]]&lt;&gt;"",IF(OR(carnet5[[#This Row],[Dif]]&gt;0,carnet5[[#This Row],[Dif]]=0),IF(OR($L8&gt;0,$L8=0),O8+1,1),IF($L8&lt;0,O8-1,-1)),0)</f>
        <v>0</v>
      </c>
      <c r="P9" s="5"/>
    </row>
    <row r="10" spans="1:19" ht="15.75" x14ac:dyDescent="0.25">
      <c r="A10" s="23" t="s">
        <v>4</v>
      </c>
      <c r="B10" s="13">
        <f>SUM(carnet5[Gain])</f>
        <v>0</v>
      </c>
      <c r="C10" s="8">
        <f>SUM(carnet5[Dif])</f>
        <v>0</v>
      </c>
      <c r="D10" s="12"/>
      <c r="F10" s="6"/>
      <c r="H10"/>
      <c r="J10"/>
      <c r="K10" s="36"/>
      <c r="L10" s="35">
        <f>IF(carnet5[[#This Row],['#]]&lt;&gt;"",IF(carnet5[[#This Row],[Lot]]&lt;0,carnet5[[#This Row],[Ouverture]]-carnet5[[#This Row],[Fermeture]],carnet5[[#This Row],[Fermeture]]-carnet5[[#This Row],[Ouverture]]),0)</f>
        <v>0</v>
      </c>
      <c r="M10" s="7">
        <f>M9+carnet5[Dif]</f>
        <v>0</v>
      </c>
      <c r="N10" s="36">
        <f>IF(K10&lt;&gt;"",N9+carnet5[[#This Row],[Gain]],N9)</f>
        <v>0</v>
      </c>
      <c r="O10" s="34">
        <f>IF(carnet5[[#This Row],['#]]&lt;&gt;"",IF(OR(carnet5[[#This Row],[Dif]]&gt;0,carnet5[[#This Row],[Dif]]=0),IF(OR($L9&gt;0,$L9=0),O9+1,1),IF($L9&lt;0,O9-1,-1)),0)</f>
        <v>0</v>
      </c>
      <c r="P10" s="5"/>
    </row>
    <row r="11" spans="1:19" x14ac:dyDescent="0.25">
      <c r="A11" s="23" t="s">
        <v>7</v>
      </c>
      <c r="B11" s="16">
        <f>_xlfn.MAXIFS(carnet5[Capital],carnet5[Capital],"&lt;&gt;0")</f>
        <v>0</v>
      </c>
      <c r="C11" s="17">
        <f>_xlfn.MAXIFS(carnet5[Pts],carnet5[Pts],"&lt;&gt;0")</f>
        <v>0</v>
      </c>
      <c r="D11" s="11"/>
      <c r="F11" s="6"/>
      <c r="H11"/>
      <c r="J11"/>
      <c r="K11" s="36"/>
      <c r="L11" s="35">
        <f>IF(carnet5[[#This Row],['#]]&lt;&gt;"",IF(carnet5[[#This Row],[Lot]]&lt;0,carnet5[[#This Row],[Ouverture]]-carnet5[[#This Row],[Fermeture]],carnet5[[#This Row],[Fermeture]]-carnet5[[#This Row],[Ouverture]]),0)</f>
        <v>0</v>
      </c>
      <c r="M11" s="7">
        <f>M10+carnet5[Dif]</f>
        <v>0</v>
      </c>
      <c r="N11" s="36">
        <f>IF(K11&lt;&gt;"",N10+carnet5[[#This Row],[Gain]],N10)</f>
        <v>0</v>
      </c>
      <c r="O11" s="34">
        <f>IF(carnet5[[#This Row],['#]]&lt;&gt;"",IF(OR(carnet5[[#This Row],[Dif]]&gt;0,carnet5[[#This Row],[Dif]]=0),IF(OR($L10&gt;0,$L10=0),O10+1,1),IF($L10&lt;0,O10-1,-1)),0)</f>
        <v>0</v>
      </c>
      <c r="P11" s="5"/>
    </row>
    <row r="12" spans="1:19" x14ac:dyDescent="0.25">
      <c r="F12" s="6"/>
      <c r="H12"/>
      <c r="J12"/>
      <c r="K12" s="36"/>
      <c r="L12" s="35">
        <f>IF(carnet5[[#This Row],['#]]&lt;&gt;"",IF(carnet5[[#This Row],[Lot]]&lt;0,carnet5[[#This Row],[Ouverture]]-carnet5[[#This Row],[Fermeture]],carnet5[[#This Row],[Fermeture]]-carnet5[[#This Row],[Ouverture]]),0)</f>
        <v>0</v>
      </c>
      <c r="M12" s="7">
        <f>M11+carnet5[Dif]</f>
        <v>0</v>
      </c>
      <c r="N12" s="36">
        <f>IF(K12&lt;&gt;"",N11+carnet5[[#This Row],[Gain]],N11)</f>
        <v>0</v>
      </c>
      <c r="O12" s="34">
        <f>IF(carnet5[[#This Row],['#]]&lt;&gt;"",IF(OR(carnet5[[#This Row],[Dif]]&gt;0,carnet5[[#This Row],[Dif]]=0),IF(OR($L11&gt;0,$L11=0),O11+1,1),IF($L11&lt;0,O11-1,-1)),0)</f>
        <v>0</v>
      </c>
      <c r="P12" s="5"/>
    </row>
    <row r="13" spans="1:19" ht="15.75" x14ac:dyDescent="0.25">
      <c r="A13" s="39" t="s">
        <v>15</v>
      </c>
      <c r="B13" s="24" t="s">
        <v>19</v>
      </c>
      <c r="C13" s="24" t="s">
        <v>18</v>
      </c>
      <c r="D13" s="28" t="s">
        <v>17</v>
      </c>
      <c r="F13" s="6"/>
      <c r="H13"/>
      <c r="J13"/>
      <c r="K13" s="36"/>
      <c r="L13" s="35">
        <f>IF(carnet5[[#This Row],['#]]&lt;&gt;"",IF(carnet5[[#This Row],[Lot]]&lt;0,carnet5[[#This Row],[Ouverture]]-carnet5[[#This Row],[Fermeture]],carnet5[[#This Row],[Fermeture]]-carnet5[[#This Row],[Ouverture]]),0)</f>
        <v>0</v>
      </c>
      <c r="M13" s="7">
        <f>M12+carnet5[Dif]</f>
        <v>0</v>
      </c>
      <c r="N13" s="36">
        <f>IF(K13&lt;&gt;"",N12+carnet5[[#This Row],[Gain]],N12)</f>
        <v>0</v>
      </c>
      <c r="O13" s="34">
        <f>IF(carnet5[[#This Row],['#]]&lt;&gt;"",IF(OR(carnet5[[#This Row],[Dif]]&gt;0,carnet5[[#This Row],[Dif]]=0),IF(OR($L12&gt;0,$L12=0),O12+1,1),IF($L12&lt;0,O12-1,-1)),0)</f>
        <v>0</v>
      </c>
      <c r="P13" s="5"/>
    </row>
    <row r="14" spans="1:19" x14ac:dyDescent="0.25">
      <c r="A14" s="23" t="s">
        <v>9</v>
      </c>
      <c r="B14" s="18">
        <f>COUNTIF(carnet5[Dif],"&gt;0")</f>
        <v>0</v>
      </c>
      <c r="C14" s="25">
        <f>COUNTIF(carnet5[Dif],"&lt;0")</f>
        <v>0</v>
      </c>
      <c r="D14" s="29">
        <f>IF($A$5&lt;&gt;0,COUNTIF(carnet5[Dif],"=0,0"),0)</f>
        <v>0</v>
      </c>
      <c r="F14" s="6"/>
      <c r="H14"/>
      <c r="J14"/>
      <c r="K14" s="36"/>
      <c r="L14" s="35">
        <f>IF(carnet5[[#This Row],['#]]&lt;&gt;"",IF(carnet5[[#This Row],[Lot]]&lt;0,carnet5[[#This Row],[Ouverture]]-carnet5[[#This Row],[Fermeture]],carnet5[[#This Row],[Fermeture]]-carnet5[[#This Row],[Ouverture]]),0)</f>
        <v>0</v>
      </c>
      <c r="M14" s="7">
        <f>M13+carnet5[Dif]</f>
        <v>0</v>
      </c>
      <c r="N14" s="36">
        <f>IF(K14&lt;&gt;"",N13+carnet5[[#This Row],[Gain]],N13)</f>
        <v>0</v>
      </c>
      <c r="O14" s="34">
        <f>IF(carnet5[[#This Row],['#]]&lt;&gt;"",IF(OR(carnet5[[#This Row],[Dif]]&gt;0,carnet5[[#This Row],[Dif]]=0),IF(OR($L13&gt;0,$L13=0),O13+1,1),IF($L13&lt;0,O13-1,-1)),0)</f>
        <v>0</v>
      </c>
      <c r="P14" s="5"/>
    </row>
    <row r="15" spans="1:19" ht="15.75" x14ac:dyDescent="0.25">
      <c r="A15" s="23" t="s">
        <v>10</v>
      </c>
      <c r="B15" s="19">
        <f>IF($A$5&lt;&gt;0,B14/$A$5,0)</f>
        <v>0</v>
      </c>
      <c r="C15" s="26">
        <f>IF($A$5&lt;&gt;0,C14/$A$5,0)</f>
        <v>0</v>
      </c>
      <c r="D15" s="30">
        <f>IF($A$5&lt;&gt;0,D14/$A$5,0)</f>
        <v>0</v>
      </c>
      <c r="F15" s="6"/>
      <c r="H15"/>
      <c r="J15"/>
      <c r="K15" s="36"/>
      <c r="L15" s="35">
        <f>IF(carnet5[[#This Row],['#]]&lt;&gt;"",IF(carnet5[[#This Row],[Lot]]&lt;0,carnet5[[#This Row],[Ouverture]]-carnet5[[#This Row],[Fermeture]],carnet5[[#This Row],[Fermeture]]-carnet5[[#This Row],[Ouverture]]),0)</f>
        <v>0</v>
      </c>
      <c r="M15" s="7">
        <f>M14+carnet5[Dif]</f>
        <v>0</v>
      </c>
      <c r="N15" s="36">
        <f>IF(K15&lt;&gt;"",N14+carnet5[[#This Row],[Gain]],N14)</f>
        <v>0</v>
      </c>
      <c r="O15" s="34">
        <f>IF(carnet5[[#This Row],['#]]&lt;&gt;"",IF(OR(carnet5[[#This Row],[Dif]]&gt;0,carnet5[[#This Row],[Dif]]=0),IF(OR($L14&gt;0,$L14=0),O14+1,1),IF($L14&lt;0,O14-1,-1)),0)</f>
        <v>0</v>
      </c>
      <c r="P15" s="5"/>
      <c r="R15" s="4"/>
    </row>
    <row r="16" spans="1:19" x14ac:dyDescent="0.25">
      <c r="A16" s="23" t="s">
        <v>24</v>
      </c>
      <c r="B16" s="20">
        <f>MAX(carnet5[Série])</f>
        <v>0</v>
      </c>
      <c r="C16" s="27">
        <f>ABS(MIN(carnet5[Série]))</f>
        <v>0</v>
      </c>
      <c r="D16" s="29"/>
      <c r="F16" s="6"/>
      <c r="H16"/>
      <c r="J16"/>
      <c r="K16" s="36"/>
      <c r="L16" s="35">
        <f>IF(carnet5[[#This Row],['#]]&lt;&gt;"",IF(carnet5[[#This Row],[Lot]]&lt;0,carnet5[[#This Row],[Ouverture]]-carnet5[[#This Row],[Fermeture]],carnet5[[#This Row],[Fermeture]]-carnet5[[#This Row],[Ouverture]]),0)</f>
        <v>0</v>
      </c>
      <c r="M16" s="7">
        <f>M15+carnet5[Dif]</f>
        <v>0</v>
      </c>
      <c r="N16" s="36">
        <f>IF(K16&lt;&gt;"",N15+carnet5[[#This Row],[Gain]],N15)</f>
        <v>0</v>
      </c>
      <c r="O16" s="34">
        <f>IF(carnet5[[#This Row],['#]]&lt;&gt;"",IF(OR(carnet5[[#This Row],[Dif]]&gt;0,carnet5[[#This Row],[Dif]]=0),IF(OR($L15&gt;0,$L15=0),O15+1,1),IF($L15&lt;0,O15-1,-1)),0)</f>
        <v>0</v>
      </c>
      <c r="P16" s="5"/>
    </row>
    <row r="17" spans="1:18" x14ac:dyDescent="0.25">
      <c r="A17" s="23" t="s">
        <v>11</v>
      </c>
      <c r="B17" s="37">
        <f>IF(A5&lt;&gt;0,AVERAGEIF(carnet5[Dif],"&gt;0",carnet5[Gain]),0)</f>
        <v>0</v>
      </c>
      <c r="C17" s="37">
        <f>IF(MIN(carnet5[Dif])&lt;0,IF(A5&lt;&gt;0,AVERAGEIF(carnet5[Dif],"&lt;0",carnet5[Gain]),0),0)</f>
        <v>0</v>
      </c>
      <c r="D17" s="29"/>
      <c r="F17" s="6"/>
      <c r="H17"/>
      <c r="J17"/>
      <c r="K17" s="36"/>
      <c r="L17" s="35">
        <f>IF(carnet5[[#This Row],['#]]&lt;&gt;"",IF(carnet5[[#This Row],[Lot]]&lt;0,carnet5[[#This Row],[Ouverture]]-carnet5[[#This Row],[Fermeture]],carnet5[[#This Row],[Fermeture]]-carnet5[[#This Row],[Ouverture]]),0)</f>
        <v>0</v>
      </c>
      <c r="M17" s="7">
        <f>M16+carnet5[Dif]</f>
        <v>0</v>
      </c>
      <c r="N17" s="36">
        <f>IF(K17&lt;&gt;"",N16+carnet5[[#This Row],[Gain]],N16)</f>
        <v>0</v>
      </c>
      <c r="O17" s="34">
        <f>IF(carnet5[[#This Row],['#]]&lt;&gt;"",IF(OR(carnet5[[#This Row],[Dif]]&gt;0,carnet5[[#This Row],[Dif]]=0),IF(OR($L16&gt;0,$L16=0),O16+1,1),IF($L16&lt;0,O16-1,-1)),0)</f>
        <v>0</v>
      </c>
      <c r="P17" s="5"/>
    </row>
    <row r="18" spans="1:18" x14ac:dyDescent="0.25">
      <c r="A18" s="23" t="s">
        <v>16</v>
      </c>
      <c r="B18" s="37">
        <f>_xlfn.MAXIFS(carnet5[Gain],carnet5[Gain],"&gt;0")</f>
        <v>0</v>
      </c>
      <c r="C18" s="37">
        <f>_xlfn.MINIFS(carnet5[Gain],carnet5[Gain],"&lt;0")</f>
        <v>0</v>
      </c>
      <c r="D18" s="29"/>
      <c r="F18" s="6"/>
      <c r="H18"/>
      <c r="J18"/>
      <c r="K18" s="36"/>
      <c r="L18" s="35">
        <f>IF(carnet5[[#This Row],['#]]&lt;&gt;"",IF(carnet5[[#This Row],[Lot]]&lt;0,carnet5[[#This Row],[Ouverture]]-carnet5[[#This Row],[Fermeture]],carnet5[[#This Row],[Fermeture]]-carnet5[[#This Row],[Ouverture]]),0)</f>
        <v>0</v>
      </c>
      <c r="M18" s="7">
        <f>M17+carnet5[Dif]</f>
        <v>0</v>
      </c>
      <c r="N18" s="36">
        <f>IF(K18&lt;&gt;"",N17+carnet5[[#This Row],[Gain]],N17)</f>
        <v>0</v>
      </c>
      <c r="O18" s="34">
        <f>IF(carnet5[[#This Row],['#]]&lt;&gt;"",IF(OR(carnet5[[#This Row],[Dif]]&gt;0,carnet5[[#This Row],[Dif]]=0),IF(OR($L17&gt;0,$L17=0),O17+1,1),IF($L17&lt;0,O17-1,-1)),0)</f>
        <v>0</v>
      </c>
      <c r="P18" s="5"/>
    </row>
    <row r="19" spans="1:18" x14ac:dyDescent="0.25">
      <c r="A19" s="32" t="s">
        <v>12</v>
      </c>
      <c r="B19" s="37">
        <f>SUMIF(carnet5[Gain],"&gt;0",carnet5[Gain])</f>
        <v>0</v>
      </c>
      <c r="C19" s="37">
        <f>SUMIF(carnet5[Gain],"&lt;0",carnet5[Gain])</f>
        <v>0</v>
      </c>
      <c r="D19" s="29"/>
      <c r="F19" s="6"/>
      <c r="H19"/>
      <c r="J19"/>
      <c r="K19" s="36"/>
      <c r="L19" s="35">
        <f>IF(carnet5[[#This Row],['#]]&lt;&gt;"",IF(carnet5[[#This Row],[Lot]]&lt;0,carnet5[[#This Row],[Ouverture]]-carnet5[[#This Row],[Fermeture]],carnet5[[#This Row],[Fermeture]]-carnet5[[#This Row],[Ouverture]]),0)</f>
        <v>0</v>
      </c>
      <c r="M19" s="7">
        <f>M18+carnet5[Dif]</f>
        <v>0</v>
      </c>
      <c r="N19" s="36">
        <f>IF(K19&lt;&gt;"",N18+carnet5[[#This Row],[Gain]],N18)</f>
        <v>0</v>
      </c>
      <c r="O19" s="34">
        <f>IF(carnet5[[#This Row],['#]]&lt;&gt;"",IF(OR(carnet5[[#This Row],[Dif]]&gt;0,carnet5[[#This Row],[Dif]]=0),IF(OR($L18&gt;0,$L18=0),O18+1,1),IF($L18&lt;0,O18-1,-1)),0)</f>
        <v>0</v>
      </c>
      <c r="P19" s="5"/>
    </row>
    <row r="20" spans="1:18" x14ac:dyDescent="0.25">
      <c r="A20" s="23" t="s">
        <v>23</v>
      </c>
      <c r="B20" s="33">
        <f>IF(A5&lt;&gt;0,AVERAGEIF(carnet5[Dif],"&gt;0",carnet5[Dif]),0)</f>
        <v>0</v>
      </c>
      <c r="C20" s="40">
        <f>IF(A5&lt;&gt;0,AVERAGEIF(carnet5[Dif],"&lt;0",carnet5[Dif]),0)</f>
        <v>0</v>
      </c>
      <c r="D20" s="29"/>
      <c r="F20" s="6"/>
      <c r="H20"/>
      <c r="J20"/>
      <c r="K20" s="36"/>
      <c r="L20" s="35">
        <f>IF(carnet5[[#This Row],['#]]&lt;&gt;"",IF(carnet5[[#This Row],[Lot]]&lt;0,carnet5[[#This Row],[Ouverture]]-carnet5[[#This Row],[Fermeture]],carnet5[[#This Row],[Fermeture]]-carnet5[[#This Row],[Ouverture]]),0)</f>
        <v>0</v>
      </c>
      <c r="M20" s="7">
        <f>M19+carnet5[Dif]</f>
        <v>0</v>
      </c>
      <c r="N20" s="36">
        <f>IF(K20&lt;&gt;"",N19+carnet5[[#This Row],[Gain]],N19)</f>
        <v>0</v>
      </c>
      <c r="O20" s="34">
        <f>IF(carnet5[[#This Row],['#]]&lt;&gt;"",IF(OR(carnet5[[#This Row],[Dif]]&gt;0,carnet5[[#This Row],[Dif]]=0),IF(OR($L19&gt;0,$L19=0),O19+1,1),IF($L19&lt;0,O19-1,-1)),0)</f>
        <v>0</v>
      </c>
      <c r="P20" s="5"/>
    </row>
    <row r="21" spans="1:18" x14ac:dyDescent="0.25">
      <c r="A21" s="32" t="s">
        <v>22</v>
      </c>
      <c r="B21" s="33">
        <f>_xlfn.MAXIFS(carnet5[Dif],carnet5[Dif],"&gt;0")</f>
        <v>0</v>
      </c>
      <c r="C21" s="40">
        <f>_xlfn.MINIFS(carnet5[Dif],carnet5[Dif],"&lt;0")</f>
        <v>0</v>
      </c>
      <c r="D21" s="29"/>
      <c r="F21" s="6"/>
      <c r="H21"/>
      <c r="J21"/>
      <c r="K21" s="36"/>
      <c r="L21" s="35">
        <f>IF(carnet5[[#This Row],['#]]&lt;&gt;"",IF(carnet5[[#This Row],[Lot]]&lt;0,carnet5[[#This Row],[Ouverture]]-carnet5[[#This Row],[Fermeture]],carnet5[[#This Row],[Fermeture]]-carnet5[[#This Row],[Ouverture]]),0)</f>
        <v>0</v>
      </c>
      <c r="M21" s="7">
        <f>M20+carnet5[Dif]</f>
        <v>0</v>
      </c>
      <c r="N21" s="36">
        <f>IF(K21&lt;&gt;"",N20+carnet5[[#This Row],[Gain]],N20)</f>
        <v>0</v>
      </c>
      <c r="O21" s="34">
        <f>IF(carnet5[[#This Row],['#]]&lt;&gt;"",IF(OR(carnet5[[#This Row],[Dif]]&gt;0,carnet5[[#This Row],[Dif]]=0),IF(OR($L20&gt;0,$L20=0),O20+1,1),IF($L20&lt;0,O20-1,-1)),0)</f>
        <v>0</v>
      </c>
      <c r="P21" s="5"/>
    </row>
    <row r="22" spans="1:18" x14ac:dyDescent="0.25">
      <c r="A22" s="32" t="s">
        <v>26</v>
      </c>
      <c r="B22" s="33">
        <f>SUMIF(carnet5[Dif],"&gt;0",carnet5[Dif])</f>
        <v>0</v>
      </c>
      <c r="C22" s="40">
        <f>SUMIF(carnet5[Dif],"&lt;0",carnet5[Dif])</f>
        <v>0</v>
      </c>
      <c r="D22" s="29"/>
      <c r="F22" s="6"/>
      <c r="H22"/>
      <c r="J22"/>
      <c r="K22" s="36"/>
      <c r="L22" s="35">
        <f>IF(carnet5[[#This Row],['#]]&lt;&gt;"",IF(carnet5[[#This Row],[Lot]]&lt;0,carnet5[[#This Row],[Ouverture]]-carnet5[[#This Row],[Fermeture]],carnet5[[#This Row],[Fermeture]]-carnet5[[#This Row],[Ouverture]]),0)</f>
        <v>0</v>
      </c>
      <c r="M22" s="7">
        <f>M21+carnet5[Dif]</f>
        <v>0</v>
      </c>
      <c r="N22" s="36">
        <f>IF(K22&lt;&gt;"",N21+carnet5[[#This Row],[Gain]],N21)</f>
        <v>0</v>
      </c>
      <c r="O22" s="34">
        <f>IF(carnet5[[#This Row],['#]]&lt;&gt;"",IF(OR(carnet5[[#This Row],[Dif]]&gt;0,carnet5[[#This Row],[Dif]]=0),IF(OR($L21&gt;0,$L21=0),O21+1,1),IF($L21&lt;0,O21-1,-1)),0)</f>
        <v>0</v>
      </c>
      <c r="P22" s="5"/>
    </row>
    <row r="23" spans="1:18" x14ac:dyDescent="0.25">
      <c r="P23" s="5"/>
      <c r="R23" s="2"/>
    </row>
    <row r="24" spans="1:18" x14ac:dyDescent="0.25">
      <c r="P24" s="5"/>
    </row>
    <row r="25" spans="1:18" x14ac:dyDescent="0.25">
      <c r="P25" s="5"/>
    </row>
    <row r="26" spans="1:18" x14ac:dyDescent="0.25">
      <c r="P26" s="5"/>
      <c r="R26" s="2"/>
    </row>
    <row r="27" spans="1:18" x14ac:dyDescent="0.25">
      <c r="P27" s="5"/>
    </row>
    <row r="28" spans="1:18" x14ac:dyDescent="0.25">
      <c r="P28" s="5"/>
    </row>
    <row r="29" spans="1:18" x14ac:dyDescent="0.25">
      <c r="P29" s="5"/>
    </row>
    <row r="30" spans="1:18" x14ac:dyDescent="0.25">
      <c r="P30" s="5"/>
    </row>
    <row r="31" spans="1:18" x14ac:dyDescent="0.25">
      <c r="P31" s="5"/>
    </row>
    <row r="32" spans="1:18" x14ac:dyDescent="0.25">
      <c r="P32" s="5"/>
    </row>
    <row r="33" spans="16:16" x14ac:dyDescent="0.25">
      <c r="P33" s="5"/>
    </row>
    <row r="34" spans="16:16" x14ac:dyDescent="0.25">
      <c r="P34" s="5"/>
    </row>
    <row r="35" spans="16:16" x14ac:dyDescent="0.25">
      <c r="P35" s="5"/>
    </row>
    <row r="36" spans="16:16" x14ac:dyDescent="0.25">
      <c r="P36" s="5"/>
    </row>
    <row r="37" spans="16:16" x14ac:dyDescent="0.25">
      <c r="P37" s="5"/>
    </row>
    <row r="38" spans="16:16" x14ac:dyDescent="0.25">
      <c r="P38" s="5"/>
    </row>
    <row r="39" spans="16:16" x14ac:dyDescent="0.25">
      <c r="P39" s="5"/>
    </row>
    <row r="40" spans="16:16" x14ac:dyDescent="0.25">
      <c r="P40" s="5"/>
    </row>
    <row r="41" spans="16:16" x14ac:dyDescent="0.25">
      <c r="P41" s="5"/>
    </row>
  </sheetData>
  <mergeCells count="3">
    <mergeCell ref="A1:S1"/>
    <mergeCell ref="A5:B6"/>
    <mergeCell ref="C5:C6"/>
  </mergeCells>
  <conditionalFormatting sqref="C9:D11 B20 O5:P5 P6:P41 O6:O48">
    <cfRule type="cellIs" dxfId="57" priority="33" operator="lessThan">
      <formula>0</formula>
    </cfRule>
    <cfRule type="cellIs" dxfId="56" priority="34" operator="greaterThan">
      <formula>0</formula>
    </cfRule>
  </conditionalFormatting>
  <conditionalFormatting sqref="B9">
    <cfRule type="cellIs" dxfId="55" priority="31" operator="lessThan">
      <formula>0</formula>
    </cfRule>
    <cfRule type="cellIs" dxfId="54" priority="32" operator="greaterThan">
      <formula>0</formula>
    </cfRule>
  </conditionalFormatting>
  <conditionalFormatting sqref="B11">
    <cfRule type="cellIs" dxfId="53" priority="29" operator="lessThan">
      <formula>0</formula>
    </cfRule>
    <cfRule type="cellIs" dxfId="52" priority="30" operator="greaterThan">
      <formula>0</formula>
    </cfRule>
  </conditionalFormatting>
  <conditionalFormatting sqref="B10">
    <cfRule type="cellIs" dxfId="51" priority="27" operator="lessThan">
      <formula>0</formula>
    </cfRule>
    <cfRule type="cellIs" dxfId="50" priority="28" operator="greaterThan">
      <formula>0</formula>
    </cfRule>
  </conditionalFormatting>
  <conditionalFormatting sqref="B21">
    <cfRule type="cellIs" dxfId="49" priority="23" operator="lessThan">
      <formula>0</formula>
    </cfRule>
    <cfRule type="cellIs" dxfId="48" priority="24" operator="greaterThan">
      <formula>0</formula>
    </cfRule>
  </conditionalFormatting>
  <conditionalFormatting sqref="M5:M22">
    <cfRule type="cellIs" dxfId="47" priority="25" operator="lessThan">
      <formula>0</formula>
    </cfRule>
    <cfRule type="cellIs" dxfId="46" priority="26" operator="greaterThan">
      <formula>0</formula>
    </cfRule>
  </conditionalFormatting>
  <conditionalFormatting sqref="L5:L22">
    <cfRule type="cellIs" dxfId="45" priority="21" operator="lessThan">
      <formula>0</formula>
    </cfRule>
    <cfRule type="cellIs" dxfId="44" priority="22" operator="greaterThan">
      <formula>0</formula>
    </cfRule>
  </conditionalFormatting>
  <conditionalFormatting sqref="N5:N22">
    <cfRule type="cellIs" dxfId="43" priority="19" operator="lessThan">
      <formula>0</formula>
    </cfRule>
    <cfRule type="cellIs" dxfId="42" priority="20" operator="greaterThan">
      <formula>0</formula>
    </cfRule>
  </conditionalFormatting>
  <conditionalFormatting sqref="B17:C19">
    <cfRule type="cellIs" dxfId="41" priority="15" operator="lessThan">
      <formula>0</formula>
    </cfRule>
    <cfRule type="cellIs" dxfId="40" priority="16" operator="greaterThan">
      <formula>0</formula>
    </cfRule>
  </conditionalFormatting>
  <conditionalFormatting sqref="B22">
    <cfRule type="cellIs" dxfId="39" priority="17" operator="lessThan">
      <formula>0</formula>
    </cfRule>
    <cfRule type="cellIs" dxfId="38" priority="18" operator="greaterThan">
      <formula>0</formula>
    </cfRule>
  </conditionalFormatting>
  <conditionalFormatting sqref="L5:L22">
    <cfRule type="cellIs" dxfId="37" priority="13" operator="lessThan">
      <formula>0</formula>
    </cfRule>
    <cfRule type="cellIs" dxfId="36" priority="14" operator="greaterThan">
      <formula>0</formula>
    </cfRule>
  </conditionalFormatting>
  <conditionalFormatting sqref="C20:C22">
    <cfRule type="cellIs" dxfId="35" priority="9" operator="lessThan">
      <formula>0</formula>
    </cfRule>
    <cfRule type="cellIs" dxfId="34" priority="10" operator="greaterThan">
      <formula>0</formula>
    </cfRule>
  </conditionalFormatting>
  <conditionalFormatting sqref="C20:C22">
    <cfRule type="cellIs" dxfId="33" priority="7" operator="lessThan">
      <formula>0</formula>
    </cfRule>
    <cfRule type="cellIs" dxfId="32" priority="8" operator="greaterThan">
      <formula>0</formula>
    </cfRule>
  </conditionalFormatting>
  <conditionalFormatting sqref="K5:K22">
    <cfRule type="cellIs" dxfId="31" priority="1" operator="lessThan">
      <formula>0</formula>
    </cfRule>
    <cfRule type="cellIs" dxfId="30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20"/>
  <sheetViews>
    <sheetView workbookViewId="0">
      <selection activeCell="M5" sqref="M5"/>
    </sheetView>
  </sheetViews>
  <sheetFormatPr baseColWidth="10" defaultRowHeight="15" x14ac:dyDescent="0.25"/>
  <cols>
    <col min="1" max="1" width="2.42578125" customWidth="1"/>
    <col min="2" max="2" width="20" bestFit="1" customWidth="1"/>
    <col min="3" max="3" width="20" customWidth="1"/>
    <col min="4" max="4" width="12.42578125" bestFit="1" customWidth="1"/>
    <col min="9" max="9" width="12.140625" bestFit="1" customWidth="1"/>
  </cols>
  <sheetData>
    <row r="1" spans="2:9" x14ac:dyDescent="0.25">
      <c r="D1">
        <v>1</v>
      </c>
      <c r="E1">
        <v>2</v>
      </c>
      <c r="F1">
        <v>3</v>
      </c>
      <c r="G1">
        <v>4</v>
      </c>
      <c r="H1">
        <v>5</v>
      </c>
    </row>
    <row r="2" spans="2:9" ht="18.75" x14ac:dyDescent="0.25">
      <c r="D2" s="42" t="s">
        <v>34</v>
      </c>
      <c r="E2" s="42" t="s">
        <v>35</v>
      </c>
      <c r="F2" s="42" t="s">
        <v>36</v>
      </c>
      <c r="G2" s="42" t="s">
        <v>37</v>
      </c>
      <c r="H2" s="42" t="s">
        <v>38</v>
      </c>
      <c r="I2" s="47" t="s">
        <v>12</v>
      </c>
    </row>
    <row r="3" spans="2:9" ht="18.75" x14ac:dyDescent="0.3">
      <c r="B3" s="46" t="s">
        <v>15</v>
      </c>
      <c r="C3" s="49"/>
      <c r="D3" s="57">
        <f>'20 JUIN 2016'!$A$5</f>
        <v>0</v>
      </c>
      <c r="E3" s="57">
        <f>'21 JUIN 2016'!$A$5</f>
        <v>0</v>
      </c>
      <c r="F3" s="57">
        <f>'22 JUIN 2016'!$A$5</f>
        <v>0</v>
      </c>
      <c r="G3" s="57">
        <f>'23 JUIN 2016'!$A$5</f>
        <v>0</v>
      </c>
      <c r="H3" s="57">
        <f>'24 JUIN 2016'!$A$5</f>
        <v>0</v>
      </c>
      <c r="I3" s="45">
        <f>SUM(D3:H3)</f>
        <v>0</v>
      </c>
    </row>
    <row r="4" spans="2:9" ht="15.75" customHeight="1" x14ac:dyDescent="0.25">
      <c r="B4" s="63" t="s">
        <v>4</v>
      </c>
      <c r="C4" s="50" t="s">
        <v>27</v>
      </c>
      <c r="D4" s="41">
        <f>'20 JUIN 2016'!$B$10</f>
        <v>0</v>
      </c>
      <c r="E4" s="41">
        <f>'21 JUIN 2016'!$B$10</f>
        <v>0</v>
      </c>
      <c r="F4" s="41">
        <f>'22 JUIN 2016'!$B$10</f>
        <v>0</v>
      </c>
      <c r="G4" s="41">
        <f>'23 JUIN 2016'!$B$10</f>
        <v>0</v>
      </c>
      <c r="H4" s="41">
        <f>'24 JUIN 2016'!$B$10</f>
        <v>0</v>
      </c>
      <c r="I4" s="51">
        <f t="shared" ref="I4:I5" si="0">SUM(D4:H4)</f>
        <v>0</v>
      </c>
    </row>
    <row r="5" spans="2:9" ht="15.75" x14ac:dyDescent="0.25">
      <c r="B5" s="64"/>
      <c r="C5" s="50" t="s">
        <v>14</v>
      </c>
      <c r="D5" s="15">
        <f>'20 JUIN 2016'!$C$10</f>
        <v>0</v>
      </c>
      <c r="E5" s="15">
        <f>'21 JUIN 2016'!$C$10</f>
        <v>0</v>
      </c>
      <c r="F5" s="15">
        <f>'22 JUIN 2016'!$C$10</f>
        <v>0</v>
      </c>
      <c r="G5" s="15">
        <f>'23 JUIN 2016'!$C$10</f>
        <v>0</v>
      </c>
      <c r="H5" s="15">
        <f>'24 JUIN 2016'!$C$10</f>
        <v>0</v>
      </c>
      <c r="I5" s="52">
        <f t="shared" si="0"/>
        <v>0</v>
      </c>
    </row>
    <row r="6" spans="2:9" ht="15.75" x14ac:dyDescent="0.25">
      <c r="B6" s="48" t="s">
        <v>29</v>
      </c>
      <c r="C6" s="50" t="s">
        <v>27</v>
      </c>
      <c r="D6" s="41">
        <f>'20 JUIN 2016'!$B$9</f>
        <v>0</v>
      </c>
      <c r="E6" s="41">
        <f>'21 JUIN 2016'!$B$9</f>
        <v>0</v>
      </c>
      <c r="F6" s="41">
        <f>'22 JUIN 2016'!$B$9</f>
        <v>0</v>
      </c>
      <c r="G6" s="41">
        <f>'23 JUIN 2016'!$B$9</f>
        <v>0</v>
      </c>
      <c r="H6" s="41">
        <f>'24 JUIN 2016'!$B$9</f>
        <v>0</v>
      </c>
      <c r="I6" s="51">
        <f>AVERAGE(D6:H6)</f>
        <v>0</v>
      </c>
    </row>
    <row r="7" spans="2:9" ht="15.75" x14ac:dyDescent="0.25">
      <c r="B7" s="63" t="s">
        <v>28</v>
      </c>
      <c r="C7" s="50" t="s">
        <v>27</v>
      </c>
      <c r="D7" s="41">
        <f>D4</f>
        <v>0</v>
      </c>
      <c r="E7" s="41">
        <f t="shared" ref="E7" si="1">E4</f>
        <v>0</v>
      </c>
      <c r="F7" s="41">
        <f>F4</f>
        <v>0</v>
      </c>
      <c r="G7" s="41">
        <f>G4</f>
        <v>0</v>
      </c>
      <c r="H7" s="41">
        <f>H4</f>
        <v>0</v>
      </c>
      <c r="I7" s="52"/>
    </row>
    <row r="8" spans="2:9" ht="15.75" x14ac:dyDescent="0.25">
      <c r="B8" s="64"/>
      <c r="C8" s="50" t="s">
        <v>14</v>
      </c>
      <c r="D8" s="15">
        <f>D5</f>
        <v>0</v>
      </c>
      <c r="E8" s="15">
        <f t="shared" ref="E8:H8" si="2">E5</f>
        <v>0</v>
      </c>
      <c r="F8" s="15">
        <f t="shared" si="2"/>
        <v>0</v>
      </c>
      <c r="G8" s="15">
        <f t="shared" si="2"/>
        <v>0</v>
      </c>
      <c r="H8" s="15">
        <f t="shared" si="2"/>
        <v>0</v>
      </c>
      <c r="I8" s="52"/>
    </row>
    <row r="9" spans="2:9" ht="15.75" customHeight="1" x14ac:dyDescent="0.25">
      <c r="B9" s="63" t="s">
        <v>30</v>
      </c>
      <c r="C9" s="50" t="s">
        <v>9</v>
      </c>
      <c r="D9">
        <f>'20 JUIN 2016'!$B$14</f>
        <v>0</v>
      </c>
      <c r="E9">
        <f>'21 JUIN 2016'!$B$14</f>
        <v>0</v>
      </c>
      <c r="F9">
        <f>'22 JUIN 2016'!$B$14</f>
        <v>0</v>
      </c>
      <c r="G9">
        <f>'23 JUIN 2016'!$B$14</f>
        <v>0</v>
      </c>
      <c r="H9">
        <f>'24 JUIN 2016'!$B$14</f>
        <v>0</v>
      </c>
      <c r="I9" s="4">
        <f>SUM(D9:H9)</f>
        <v>0</v>
      </c>
    </row>
    <row r="10" spans="2:9" ht="15.75" x14ac:dyDescent="0.25">
      <c r="B10" s="64"/>
      <c r="C10" s="50" t="s">
        <v>10</v>
      </c>
      <c r="D10" s="43">
        <f>'20 JUIN 2016'!$B$15</f>
        <v>0</v>
      </c>
      <c r="E10" s="43">
        <f>'21 JUIN 2016'!$B$15</f>
        <v>0</v>
      </c>
      <c r="F10" s="43">
        <f>'22 JUIN 2016'!$B$15</f>
        <v>0</v>
      </c>
      <c r="G10" s="43">
        <f>'23 JUIN 2016'!$B$15</f>
        <v>0</v>
      </c>
      <c r="H10" s="43">
        <f>'24 JUIN 2016'!$B$15</f>
        <v>0</v>
      </c>
      <c r="I10" s="44">
        <f>IF($I$3&lt;&gt;0,I9/$I$3,0)</f>
        <v>0</v>
      </c>
    </row>
    <row r="11" spans="2:9" ht="15.75" x14ac:dyDescent="0.25">
      <c r="B11" s="64"/>
      <c r="C11" s="50" t="s">
        <v>24</v>
      </c>
      <c r="D11" s="6">
        <f>'20 JUIN 2016'!$B$16</f>
        <v>0</v>
      </c>
      <c r="E11" s="6">
        <f>'21 JUIN 2016'!$B$16</f>
        <v>0</v>
      </c>
      <c r="F11" s="6">
        <f>'22 JUIN 2016'!$B$16</f>
        <v>0</v>
      </c>
      <c r="G11" s="6">
        <f>'23 JUIN 2016'!$B$16</f>
        <v>0</v>
      </c>
      <c r="H11" s="6">
        <f>'24 JUIN 2016'!$B$16</f>
        <v>0</v>
      </c>
      <c r="I11" s="4">
        <f>AVERAGE(D11:H11)</f>
        <v>0</v>
      </c>
    </row>
    <row r="12" spans="2:9" ht="15.75" x14ac:dyDescent="0.25">
      <c r="B12" s="64"/>
      <c r="C12" s="50" t="s">
        <v>16</v>
      </c>
      <c r="D12">
        <f>'20 JUIN 2016'!$B$21</f>
        <v>0</v>
      </c>
      <c r="E12">
        <f>'21 JUIN 2016'!$B$21</f>
        <v>0</v>
      </c>
      <c r="F12">
        <f>'22 JUIN 2016'!$B$21</f>
        <v>0</v>
      </c>
      <c r="G12">
        <f>'23 JUIN 2016'!$B$21</f>
        <v>0</v>
      </c>
      <c r="H12">
        <f>'24 JUIN 2016'!$B$21</f>
        <v>0</v>
      </c>
      <c r="I12" s="4">
        <f>AVERAGE(D12:H12)</f>
        <v>0</v>
      </c>
    </row>
    <row r="13" spans="2:9" ht="15.75" x14ac:dyDescent="0.25">
      <c r="B13" s="64"/>
      <c r="C13" s="50" t="s">
        <v>11</v>
      </c>
      <c r="D13" s="1">
        <f>'20 JUIN 2016'!$B$20</f>
        <v>0</v>
      </c>
      <c r="E13" s="1">
        <f>'21 JUIN 2016'!$B$20</f>
        <v>0</v>
      </c>
      <c r="F13" s="1">
        <f>'22 JUIN 2016'!$B$20</f>
        <v>0</v>
      </c>
      <c r="G13" s="1">
        <f>'23 JUIN 2016'!$B$20</f>
        <v>0</v>
      </c>
      <c r="H13" s="1">
        <f>'24 JUIN 2016'!$B$20</f>
        <v>0</v>
      </c>
      <c r="I13" s="53">
        <f>AVERAGE(D13:H13)</f>
        <v>0</v>
      </c>
    </row>
    <row r="14" spans="2:9" ht="15.75" x14ac:dyDescent="0.25">
      <c r="B14" s="63" t="s">
        <v>31</v>
      </c>
      <c r="C14" s="50" t="s">
        <v>9</v>
      </c>
      <c r="D14">
        <f>'20 JUIN 2016'!$C$14</f>
        <v>0</v>
      </c>
      <c r="E14">
        <f>'21 JUIN 2016'!$C$14</f>
        <v>0</v>
      </c>
      <c r="F14">
        <f>'22 JUIN 2016'!$C$14</f>
        <v>0</v>
      </c>
      <c r="G14">
        <f>'23 JUIN 2016'!$C$14</f>
        <v>0</v>
      </c>
      <c r="H14">
        <f>'24 JUIN 2016'!$C$14</f>
        <v>0</v>
      </c>
      <c r="I14" s="4">
        <f>SUM(D14:H14)</f>
        <v>0</v>
      </c>
    </row>
    <row r="15" spans="2:9" ht="15.75" x14ac:dyDescent="0.25">
      <c r="B15" s="64"/>
      <c r="C15" s="50" t="s">
        <v>10</v>
      </c>
      <c r="D15" s="43">
        <f>'20 JUIN 2016'!$C$15</f>
        <v>0</v>
      </c>
      <c r="E15" s="43">
        <f>'21 JUIN 2016'!$C$15</f>
        <v>0</v>
      </c>
      <c r="F15" s="43">
        <f>'22 JUIN 2016'!$C$15</f>
        <v>0</v>
      </c>
      <c r="G15" s="43">
        <f>'23 JUIN 2016'!$C$15</f>
        <v>0</v>
      </c>
      <c r="H15" s="43">
        <f>'24 JUIN 2016'!$C$15</f>
        <v>0</v>
      </c>
      <c r="I15" s="44">
        <f>IF($I$3&lt;&gt;0,I14/$I$3,0)</f>
        <v>0</v>
      </c>
    </row>
    <row r="16" spans="2:9" ht="15.75" x14ac:dyDescent="0.25">
      <c r="B16" s="64"/>
      <c r="C16" s="50" t="s">
        <v>24</v>
      </c>
      <c r="D16" s="6">
        <f>'20 JUIN 2016'!$C$16</f>
        <v>0</v>
      </c>
      <c r="E16" s="6">
        <f>'21 JUIN 2016'!$C$16</f>
        <v>0</v>
      </c>
      <c r="F16" s="6">
        <f>'22 JUIN 2016'!$C$16</f>
        <v>0</v>
      </c>
      <c r="G16" s="6">
        <f>'23 JUIN 2016'!$C$16</f>
        <v>0</v>
      </c>
      <c r="H16" s="6">
        <f>'24 JUIN 2016'!$C$16</f>
        <v>0</v>
      </c>
      <c r="I16" s="4">
        <f>AVERAGE(D16:H16)</f>
        <v>0</v>
      </c>
    </row>
    <row r="17" spans="2:9" ht="15.75" x14ac:dyDescent="0.25">
      <c r="B17" s="64"/>
      <c r="C17" s="50" t="s">
        <v>16</v>
      </c>
      <c r="D17">
        <f>'20 JUIN 2016'!$C$21</f>
        <v>0</v>
      </c>
      <c r="E17">
        <f>'21 JUIN 2016'!$C$21</f>
        <v>0</v>
      </c>
      <c r="F17">
        <f>'22 JUIN 2016'!$C$21</f>
        <v>0</v>
      </c>
      <c r="G17">
        <f>'23 JUIN 2016'!$C$21</f>
        <v>0</v>
      </c>
      <c r="H17">
        <f>'24 JUIN 2016'!$C$21</f>
        <v>0</v>
      </c>
      <c r="I17" s="4">
        <f>AVERAGE(D17:H17)</f>
        <v>0</v>
      </c>
    </row>
    <row r="18" spans="2:9" ht="15.75" x14ac:dyDescent="0.25">
      <c r="B18" s="64"/>
      <c r="C18" s="50" t="s">
        <v>11</v>
      </c>
      <c r="D18" s="1">
        <f>'20 JUIN 2016'!$C$20</f>
        <v>0</v>
      </c>
      <c r="E18" s="1">
        <f>'21 JUIN 2016'!$C$20</f>
        <v>0</v>
      </c>
      <c r="F18" s="1">
        <f>'22 JUIN 2016'!$C$20</f>
        <v>0</v>
      </c>
      <c r="G18" s="1">
        <f>'23 JUIN 2016'!$C$20</f>
        <v>0</v>
      </c>
      <c r="H18" s="1">
        <f>'24 JUIN 2016'!$C$20</f>
        <v>0</v>
      </c>
      <c r="I18" s="53">
        <f>AVERAGE(D18:H18)</f>
        <v>0</v>
      </c>
    </row>
    <row r="19" spans="2:9" ht="15.75" customHeight="1" x14ac:dyDescent="0.25">
      <c r="B19" s="65" t="s">
        <v>32</v>
      </c>
      <c r="C19" s="50" t="s">
        <v>9</v>
      </c>
      <c r="D19">
        <f>'20 JUIN 2016'!$D$14</f>
        <v>0</v>
      </c>
      <c r="E19">
        <f>'21 JUIN 2016'!$D$14</f>
        <v>0</v>
      </c>
      <c r="F19">
        <f>'22 JUIN 2016'!$D$14</f>
        <v>0</v>
      </c>
      <c r="G19">
        <f>'23 JUIN 2016'!$D$14</f>
        <v>0</v>
      </c>
      <c r="H19">
        <f>'24 JUIN 2016'!$D$14</f>
        <v>0</v>
      </c>
      <c r="I19" s="4">
        <f>SUM(D19:H19)</f>
        <v>0</v>
      </c>
    </row>
    <row r="20" spans="2:9" ht="15.75" x14ac:dyDescent="0.25">
      <c r="B20" s="66"/>
      <c r="C20" s="50" t="s">
        <v>10</v>
      </c>
      <c r="D20" s="43">
        <f>'20 JUIN 2016'!$D$15</f>
        <v>0</v>
      </c>
      <c r="E20" s="43">
        <f>'21 JUIN 2016'!$D$15</f>
        <v>0</v>
      </c>
      <c r="F20" s="43">
        <f>'22 JUIN 2016'!$D$15</f>
        <v>0</v>
      </c>
      <c r="G20" s="43">
        <f>'23 JUIN 2016'!$D$15</f>
        <v>0</v>
      </c>
      <c r="H20" s="43">
        <f>'24 JUIN 2016'!$D$15</f>
        <v>0</v>
      </c>
      <c r="I20" s="44">
        <f>IF($I$3&lt;&gt;0,I19/$I$3,0)</f>
        <v>0</v>
      </c>
    </row>
  </sheetData>
  <mergeCells count="5">
    <mergeCell ref="B9:B13"/>
    <mergeCell ref="B14:B18"/>
    <mergeCell ref="B19:B20"/>
    <mergeCell ref="B4:B5"/>
    <mergeCell ref="B7:B8"/>
  </mergeCells>
  <conditionalFormatting sqref="D4:H4">
    <cfRule type="cellIs" dxfId="19" priority="23" operator="lessThan">
      <formula>0</formula>
    </cfRule>
    <cfRule type="cellIs" dxfId="18" priority="24" operator="greaterThan">
      <formula>0</formula>
    </cfRule>
  </conditionalFormatting>
  <conditionalFormatting sqref="D5:H5">
    <cfRule type="cellIs" dxfId="17" priority="19" operator="lessThan">
      <formula>0</formula>
    </cfRule>
    <cfRule type="cellIs" dxfId="16" priority="20" operator="greaterThan">
      <formula>0</formula>
    </cfRule>
  </conditionalFormatting>
  <conditionalFormatting sqref="D6:H6">
    <cfRule type="cellIs" dxfId="15" priority="17" operator="lessThan">
      <formula>0</formula>
    </cfRule>
    <cfRule type="cellIs" dxfId="14" priority="18" operator="greaterThan">
      <formula>0</formula>
    </cfRule>
  </conditionalFormatting>
  <conditionalFormatting sqref="D7:H7">
    <cfRule type="cellIs" dxfId="13" priority="15" operator="lessThan">
      <formula>0</formula>
    </cfRule>
    <cfRule type="cellIs" dxfId="12" priority="16" operator="greaterThan">
      <formula>0</formula>
    </cfRule>
  </conditionalFormatting>
  <conditionalFormatting sqref="D8:H8">
    <cfRule type="cellIs" dxfId="11" priority="13" operator="lessThan">
      <formula>0</formula>
    </cfRule>
    <cfRule type="cellIs" dxfId="10" priority="14" operator="greaterThan">
      <formula>0</formula>
    </cfRule>
  </conditionalFormatting>
  <conditionalFormatting sqref="I4">
    <cfRule type="cellIs" dxfId="9" priority="11" operator="lessThan">
      <formula>0</formula>
    </cfRule>
    <cfRule type="cellIs" dxfId="8" priority="12" operator="greaterThan">
      <formula>0</formula>
    </cfRule>
  </conditionalFormatting>
  <conditionalFormatting sqref="I5"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I6">
    <cfRule type="cellIs" dxfId="5" priority="7" operator="lessThan">
      <formula>0</formula>
    </cfRule>
    <cfRule type="cellIs" dxfId="4" priority="8" operator="greaterThan">
      <formula>0</formula>
    </cfRule>
  </conditionalFormatting>
  <conditionalFormatting sqref="I8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I7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M31" sqref="M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20 JUIN 2016</vt:lpstr>
      <vt:lpstr>21 JUIN 2016</vt:lpstr>
      <vt:lpstr>22 JUIN 2016</vt:lpstr>
      <vt:lpstr>23 JUIN 2016</vt:lpstr>
      <vt:lpstr>24 JUIN 2016</vt:lpstr>
      <vt:lpstr>Récap. Sem.</vt:lpstr>
      <vt:lpstr>Graphs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Liger</dc:creator>
  <cp:lastModifiedBy>Sebastien Liger</cp:lastModifiedBy>
  <dcterms:created xsi:type="dcterms:W3CDTF">2016-06-13T17:05:57Z</dcterms:created>
  <dcterms:modified xsi:type="dcterms:W3CDTF">2016-06-23T07:26:37Z</dcterms:modified>
</cp:coreProperties>
</file>