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615"/>
  <workbookPr filterPrivacy="1" hidePivotFieldList="1"/>
  <mc:AlternateContent xmlns:mc="http://schemas.openxmlformats.org/markup-compatibility/2006">
    <mc:Choice Requires="x15">
      <x15ac:absPath xmlns:x15ac="http://schemas.microsoft.com/office/spreadsheetml/2010/11/ac" url="/Users/WorkPM/Documents/Dropbox/Documents Perso/Patrimoine &amp; bourse/"/>
    </mc:Choice>
  </mc:AlternateContent>
  <bookViews>
    <workbookView xWindow="0" yWindow="1920" windowWidth="28800" windowHeight="11700"/>
  </bookViews>
  <sheets>
    <sheet name="Index" sheetId="10" r:id="rId1"/>
    <sheet name="Journal trimestre 3-2017 " sheetId="1" r:id="rId2"/>
    <sheet name="Graphique evolution du capital" sheetId="2" r:id="rId3"/>
    <sheet name="Suivi Position" sheetId="6" r:id="rId4"/>
    <sheet name="GainPerte Daily" sheetId="3" r:id="rId5"/>
    <sheet name="Position Forex&amp;Indice" sheetId="11" r:id="rId6"/>
    <sheet name="Pips et volatilité" sheetId="7" r:id="rId7"/>
    <sheet name="Instruments" sheetId="8" r:id="rId8"/>
    <sheet name="Data" sheetId="9" r:id="rId9"/>
  </sheets>
  <definedNames>
    <definedName name="_xlnm._FilterDatabase" localSheetId="7" hidden="1">Instruments!$B$4:$P$4</definedName>
    <definedName name="Capital_actuel">'Journal trimestre 3-2017 '!$C$4</definedName>
    <definedName name="Code_Instrument">Data!$C$6:$C$14</definedName>
    <definedName name="Devise">Data!$F$7:$F$11</definedName>
    <definedName name="Indice">Data!$I$6:$I$8</definedName>
    <definedName name="Liste_Instrument">Instruments!$B$4:$Q$13</definedName>
    <definedName name="lsv">#REF!</definedName>
    <definedName name="Risque_Maxi">'Position Forex&amp;Indice'!$D$4</definedName>
    <definedName name="rjv">'Journal trimestre 3-2017 '!$F$34</definedName>
    <definedName name="rmv">#REF!</definedName>
    <definedName name="Type_Instrument">Data!$I$6:$I$8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4"/>
    </ext>
  </extLst>
</workbook>
</file>

<file path=xl/calcChain.xml><?xml version="1.0" encoding="utf-8"?>
<calcChain xmlns="http://schemas.openxmlformats.org/spreadsheetml/2006/main">
  <c r="L3" i="6" l="1"/>
  <c r="I8" i="6"/>
  <c r="D17" i="11"/>
  <c r="E28" i="7"/>
  <c r="H5" i="6"/>
  <c r="L5" i="6"/>
  <c r="I6" i="6"/>
  <c r="I7" i="6"/>
  <c r="J8" i="6"/>
  <c r="J9" i="6"/>
  <c r="I9" i="6"/>
  <c r="J10" i="6"/>
  <c r="I10" i="6"/>
  <c r="J11" i="6"/>
  <c r="I11" i="6"/>
  <c r="J12" i="6"/>
  <c r="I12" i="6"/>
  <c r="I5" i="6"/>
  <c r="J9" i="1"/>
  <c r="F11" i="1"/>
  <c r="F13" i="1"/>
  <c r="G11" i="1"/>
  <c r="G13" i="1"/>
  <c r="H11" i="1"/>
  <c r="H13" i="1"/>
  <c r="I11" i="1"/>
  <c r="I13" i="1"/>
  <c r="J11" i="1"/>
  <c r="J13" i="1"/>
  <c r="F15" i="1"/>
  <c r="F17" i="1"/>
  <c r="G15" i="1"/>
  <c r="G17" i="1"/>
  <c r="H15" i="1"/>
  <c r="H17" i="1"/>
  <c r="I15" i="1"/>
  <c r="I17" i="1"/>
  <c r="J15" i="1"/>
  <c r="J17" i="1"/>
  <c r="F19" i="1"/>
  <c r="F21" i="1"/>
  <c r="G19" i="1"/>
  <c r="G21" i="1"/>
  <c r="H19" i="1"/>
  <c r="H21" i="1"/>
  <c r="I19" i="1"/>
  <c r="I21" i="1"/>
  <c r="J19" i="1"/>
  <c r="J21" i="1"/>
  <c r="F23" i="1"/>
  <c r="F25" i="1"/>
  <c r="G23" i="1"/>
  <c r="G25" i="1"/>
  <c r="H23" i="1"/>
  <c r="H25" i="1"/>
  <c r="I23" i="1"/>
  <c r="I25" i="1"/>
  <c r="J23" i="1"/>
  <c r="J25" i="1"/>
  <c r="F27" i="1"/>
  <c r="F29" i="1"/>
  <c r="G27" i="1"/>
  <c r="G29" i="1"/>
  <c r="H27" i="1"/>
  <c r="H29" i="1"/>
  <c r="I27" i="1"/>
  <c r="I29" i="1"/>
  <c r="J27" i="1"/>
  <c r="J29" i="1"/>
  <c r="F31" i="1"/>
  <c r="F33" i="1"/>
  <c r="G31" i="1"/>
  <c r="G33" i="1"/>
  <c r="H31" i="1"/>
  <c r="H33" i="1"/>
  <c r="I31" i="1"/>
  <c r="I33" i="1"/>
  <c r="J31" i="1"/>
  <c r="J33" i="1"/>
  <c r="F35" i="1"/>
  <c r="F37" i="1"/>
  <c r="G35" i="1"/>
  <c r="G37" i="1"/>
  <c r="H35" i="1"/>
  <c r="H37" i="1"/>
  <c r="I35" i="1"/>
  <c r="I37" i="1"/>
  <c r="J35" i="1"/>
  <c r="J37" i="1"/>
  <c r="F39" i="1"/>
  <c r="F41" i="1"/>
  <c r="G39" i="1"/>
  <c r="G41" i="1"/>
  <c r="H39" i="1"/>
  <c r="H41" i="1"/>
  <c r="I39" i="1"/>
  <c r="I41" i="1"/>
  <c r="J39" i="1"/>
  <c r="J41" i="1"/>
  <c r="F43" i="1"/>
  <c r="F45" i="1"/>
  <c r="G43" i="1"/>
  <c r="G45" i="1"/>
  <c r="H43" i="1"/>
  <c r="H45" i="1"/>
  <c r="I43" i="1"/>
  <c r="I45" i="1"/>
  <c r="J43" i="1"/>
  <c r="J45" i="1"/>
  <c r="F47" i="1"/>
  <c r="F49" i="1"/>
  <c r="G47" i="1"/>
  <c r="G49" i="1"/>
  <c r="H47" i="1"/>
  <c r="H49" i="1"/>
  <c r="I47" i="1"/>
  <c r="I49" i="1"/>
  <c r="J47" i="1"/>
  <c r="J49" i="1"/>
  <c r="F51" i="1"/>
  <c r="F53" i="1"/>
  <c r="G51" i="1"/>
  <c r="G53" i="1"/>
  <c r="H51" i="1"/>
  <c r="H53" i="1"/>
  <c r="I51" i="1"/>
  <c r="I53" i="1"/>
  <c r="J51" i="1"/>
  <c r="J53" i="1"/>
  <c r="F55" i="1"/>
  <c r="F57" i="1"/>
  <c r="G55" i="1"/>
  <c r="G57" i="1"/>
  <c r="H55" i="1"/>
  <c r="H57" i="1"/>
  <c r="I55" i="1"/>
  <c r="I57" i="1"/>
  <c r="J55" i="1"/>
  <c r="J57" i="1"/>
  <c r="F59" i="1"/>
  <c r="F61" i="1"/>
  <c r="G59" i="1"/>
  <c r="G61" i="1"/>
  <c r="H59" i="1"/>
  <c r="H61" i="1"/>
  <c r="I59" i="1"/>
  <c r="I61" i="1"/>
  <c r="J59" i="1"/>
  <c r="J61" i="1"/>
  <c r="C4" i="1"/>
  <c r="G5" i="6"/>
  <c r="F7" i="1"/>
  <c r="F9" i="1"/>
  <c r="G7" i="1"/>
  <c r="G9" i="1"/>
  <c r="H7" i="1"/>
  <c r="H9" i="1"/>
  <c r="I7" i="1"/>
  <c r="I9" i="1"/>
  <c r="J7" i="1"/>
  <c r="K12" i="6"/>
  <c r="K11" i="6"/>
  <c r="K10" i="6"/>
  <c r="K9" i="6"/>
  <c r="K8" i="6"/>
  <c r="J7" i="6"/>
  <c r="K7" i="6"/>
  <c r="H2" i="3"/>
  <c r="I2" i="3"/>
  <c r="J2" i="3"/>
  <c r="E2" i="3"/>
  <c r="F2" i="3"/>
  <c r="G2" i="3"/>
  <c r="J6" i="6"/>
  <c r="J5" i="6"/>
  <c r="K5" i="6"/>
  <c r="K6" i="6"/>
  <c r="E27" i="7"/>
  <c r="F17" i="11"/>
  <c r="D3" i="11"/>
  <c r="D5" i="11"/>
  <c r="D12" i="11"/>
  <c r="D18" i="11"/>
  <c r="K17" i="11"/>
  <c r="J17" i="11"/>
  <c r="I17" i="11"/>
  <c r="H17" i="11"/>
  <c r="G17" i="11"/>
  <c r="E12" i="11"/>
  <c r="D19" i="11"/>
  <c r="D20" i="11"/>
  <c r="E10" i="1"/>
  <c r="E14" i="1"/>
  <c r="E18" i="1"/>
  <c r="E22" i="1"/>
  <c r="E26" i="1"/>
  <c r="E30" i="1"/>
  <c r="E34" i="1"/>
  <c r="E38" i="1"/>
  <c r="E42" i="1"/>
  <c r="E46" i="1"/>
  <c r="E50" i="1"/>
  <c r="E54" i="1"/>
  <c r="E58" i="1"/>
  <c r="E62" i="1"/>
  <c r="J14" i="7"/>
  <c r="J27" i="7"/>
  <c r="I27" i="7"/>
  <c r="H27" i="7"/>
  <c r="G27" i="7"/>
  <c r="F27" i="7"/>
  <c r="Q6" i="8"/>
  <c r="Q7" i="8"/>
  <c r="Q8" i="8"/>
  <c r="Q9" i="8"/>
  <c r="Q10" i="8"/>
  <c r="Q11" i="8"/>
  <c r="Q12" i="8"/>
  <c r="Q13" i="8"/>
  <c r="Q5" i="8"/>
  <c r="H13" i="8"/>
  <c r="K13" i="8"/>
  <c r="K12" i="8"/>
  <c r="K11" i="8"/>
  <c r="K10" i="8"/>
  <c r="K9" i="8"/>
  <c r="K8" i="8"/>
  <c r="K7" i="8"/>
  <c r="K6" i="8"/>
  <c r="K5" i="8"/>
  <c r="P8" i="8"/>
  <c r="G8" i="9"/>
  <c r="H8" i="7"/>
  <c r="J8" i="7"/>
  <c r="P13" i="7"/>
  <c r="O13" i="7"/>
  <c r="N13" i="7"/>
  <c r="H13" i="7"/>
  <c r="J13" i="7"/>
  <c r="F26" i="7"/>
  <c r="G26" i="7"/>
  <c r="G28" i="7"/>
  <c r="L51" i="7"/>
  <c r="K51" i="7"/>
  <c r="J51" i="7"/>
  <c r="I51" i="7"/>
  <c r="H51" i="7"/>
  <c r="G51" i="7"/>
  <c r="F51" i="7"/>
  <c r="L50" i="7"/>
  <c r="K50" i="7"/>
  <c r="J50" i="7"/>
  <c r="I50" i="7"/>
  <c r="H50" i="7"/>
  <c r="G50" i="7"/>
  <c r="F50" i="7"/>
  <c r="G25" i="7"/>
  <c r="L49" i="7"/>
  <c r="K49" i="7"/>
  <c r="J49" i="7"/>
  <c r="I49" i="7"/>
  <c r="H49" i="7"/>
  <c r="G49" i="7"/>
  <c r="F49" i="7"/>
  <c r="G24" i="7"/>
  <c r="L48" i="7"/>
  <c r="K48" i="7"/>
  <c r="J48" i="7"/>
  <c r="I48" i="7"/>
  <c r="H48" i="7"/>
  <c r="G48" i="7"/>
  <c r="F48" i="7"/>
  <c r="G23" i="7"/>
  <c r="L47" i="7"/>
  <c r="K47" i="7"/>
  <c r="J47" i="7"/>
  <c r="I47" i="7"/>
  <c r="H47" i="7"/>
  <c r="G47" i="7"/>
  <c r="F47" i="7"/>
  <c r="G9" i="7"/>
  <c r="G22" i="7"/>
  <c r="L46" i="7"/>
  <c r="K46" i="7"/>
  <c r="J46" i="7"/>
  <c r="I46" i="7"/>
  <c r="H46" i="7"/>
  <c r="G46" i="7"/>
  <c r="F46" i="7"/>
  <c r="G21" i="7"/>
  <c r="L45" i="7"/>
  <c r="K45" i="7"/>
  <c r="J45" i="7"/>
  <c r="I45" i="7"/>
  <c r="H45" i="7"/>
  <c r="G45" i="7"/>
  <c r="F45" i="7"/>
  <c r="G20" i="7"/>
  <c r="L44" i="7"/>
  <c r="K44" i="7"/>
  <c r="J44" i="7"/>
  <c r="I44" i="7"/>
  <c r="H44" i="7"/>
  <c r="G44" i="7"/>
  <c r="F44" i="7"/>
  <c r="F20" i="7"/>
  <c r="H7" i="7"/>
  <c r="H20" i="7"/>
  <c r="I20" i="7"/>
  <c r="J7" i="7"/>
  <c r="J20" i="7"/>
  <c r="F21" i="7"/>
  <c r="H21" i="7"/>
  <c r="I21" i="7"/>
  <c r="J21" i="7"/>
  <c r="F22" i="7"/>
  <c r="H9" i="7"/>
  <c r="H22" i="7"/>
  <c r="I22" i="7"/>
  <c r="J9" i="7"/>
  <c r="J22" i="7"/>
  <c r="F23" i="7"/>
  <c r="H10" i="7"/>
  <c r="H23" i="7"/>
  <c r="I23" i="7"/>
  <c r="J10" i="7"/>
  <c r="J23" i="7"/>
  <c r="F24" i="7"/>
  <c r="H11" i="7"/>
  <c r="H24" i="7"/>
  <c r="I24" i="7"/>
  <c r="J11" i="7"/>
  <c r="J24" i="7"/>
  <c r="F25" i="7"/>
  <c r="H12" i="7"/>
  <c r="H25" i="7"/>
  <c r="I25" i="7"/>
  <c r="J12" i="7"/>
  <c r="J25" i="7"/>
  <c r="H26" i="7"/>
  <c r="I26" i="7"/>
  <c r="J26" i="7"/>
  <c r="F28" i="7"/>
  <c r="H28" i="7"/>
  <c r="I28" i="7"/>
  <c r="J15" i="7"/>
  <c r="J28" i="7"/>
  <c r="J18" i="3"/>
  <c r="K18" i="3"/>
  <c r="J17" i="3"/>
  <c r="K17" i="3"/>
  <c r="J16" i="3"/>
  <c r="K16" i="3"/>
  <c r="J15" i="3"/>
  <c r="K15" i="3"/>
  <c r="J14" i="3"/>
  <c r="K14" i="3"/>
  <c r="J13" i="3"/>
  <c r="K13" i="3"/>
  <c r="J12" i="3"/>
  <c r="K12" i="3"/>
  <c r="C5" i="1"/>
  <c r="K7" i="3"/>
  <c r="K8" i="3"/>
  <c r="K9" i="3"/>
  <c r="K10" i="3"/>
  <c r="K6" i="3"/>
  <c r="D2" i="3"/>
  <c r="K5" i="3"/>
  <c r="I10" i="1"/>
  <c r="I14" i="1"/>
  <c r="I18" i="1"/>
  <c r="I22" i="1"/>
  <c r="I26" i="1"/>
  <c r="I30" i="1"/>
  <c r="I34" i="1"/>
  <c r="I38" i="1"/>
  <c r="I42" i="1"/>
  <c r="I46" i="1"/>
  <c r="I50" i="1"/>
  <c r="I54" i="1"/>
  <c r="I58" i="1"/>
  <c r="I6" i="1"/>
  <c r="I3" i="1"/>
  <c r="P5" i="1"/>
  <c r="F6" i="1"/>
  <c r="G6" i="1"/>
  <c r="Q5" i="1"/>
  <c r="H6" i="1"/>
  <c r="R5" i="1"/>
  <c r="S5" i="1"/>
  <c r="J6" i="1"/>
  <c r="T5" i="1"/>
  <c r="K6" i="1"/>
  <c r="F10" i="1"/>
  <c r="G10" i="1"/>
  <c r="U5" i="1"/>
  <c r="V5" i="1"/>
  <c r="H10" i="1"/>
  <c r="W5" i="1"/>
  <c r="Y5" i="1"/>
  <c r="X5" i="1"/>
  <c r="J10" i="1"/>
  <c r="K10" i="1"/>
  <c r="F14" i="1"/>
  <c r="G14" i="1"/>
  <c r="Z5" i="1"/>
  <c r="AA5" i="1"/>
  <c r="H14" i="1"/>
  <c r="AB5" i="1"/>
  <c r="J14" i="1"/>
  <c r="AC5" i="1"/>
  <c r="AD5" i="1"/>
  <c r="K14" i="1"/>
  <c r="F18" i="1"/>
  <c r="G18" i="1"/>
  <c r="AE5" i="1"/>
  <c r="H18" i="1"/>
  <c r="AF5" i="1"/>
  <c r="AG5" i="1"/>
  <c r="AH5" i="1"/>
  <c r="J18" i="1"/>
  <c r="AI5" i="1"/>
  <c r="K18" i="1"/>
  <c r="F22" i="1"/>
  <c r="AJ5" i="1"/>
  <c r="G22" i="1"/>
  <c r="AK5" i="1"/>
  <c r="H22" i="1"/>
  <c r="AL5" i="1"/>
  <c r="AM5" i="1"/>
  <c r="J22" i="1"/>
  <c r="AN5" i="1"/>
  <c r="K22" i="1"/>
  <c r="F26" i="1"/>
  <c r="AO5" i="1"/>
  <c r="G26" i="1"/>
  <c r="AP5" i="1"/>
  <c r="H26" i="1"/>
  <c r="AQ5" i="1"/>
  <c r="AR5" i="1"/>
  <c r="J26" i="1"/>
  <c r="AS5" i="1"/>
  <c r="K26" i="1"/>
  <c r="F30" i="1"/>
  <c r="AT5" i="1"/>
  <c r="G30" i="1"/>
  <c r="AU5" i="1"/>
  <c r="H30" i="1"/>
  <c r="AV5" i="1"/>
  <c r="AW5" i="1"/>
  <c r="J30" i="1"/>
  <c r="AX5" i="1"/>
  <c r="K30" i="1"/>
  <c r="F34" i="1"/>
  <c r="AY5" i="1"/>
  <c r="G34" i="1"/>
  <c r="AZ5" i="1"/>
  <c r="H34" i="1"/>
  <c r="BA5" i="1"/>
  <c r="BB5" i="1"/>
  <c r="J34" i="1"/>
  <c r="BC5" i="1"/>
  <c r="K34" i="1"/>
  <c r="F38" i="1"/>
  <c r="BD5" i="1"/>
  <c r="G38" i="1"/>
  <c r="BE5" i="1"/>
  <c r="H38" i="1"/>
  <c r="BF5" i="1"/>
  <c r="BG5" i="1"/>
  <c r="J38" i="1"/>
  <c r="BH5" i="1"/>
  <c r="K38" i="1"/>
  <c r="F42" i="1"/>
  <c r="BI5" i="1"/>
  <c r="G42" i="1"/>
  <c r="BJ5" i="1"/>
  <c r="H42" i="1"/>
  <c r="BK5" i="1"/>
  <c r="BL5" i="1"/>
  <c r="J42" i="1"/>
  <c r="BM5" i="1"/>
  <c r="K42" i="1"/>
  <c r="F46" i="1"/>
  <c r="BN5" i="1"/>
  <c r="G46" i="1"/>
  <c r="BO5" i="1"/>
  <c r="H46" i="1"/>
  <c r="BP5" i="1"/>
  <c r="BQ5" i="1"/>
  <c r="J46" i="1"/>
  <c r="BR5" i="1"/>
  <c r="K46" i="1"/>
  <c r="F50" i="1"/>
  <c r="BS5" i="1"/>
  <c r="G50" i="1"/>
  <c r="BT5" i="1"/>
  <c r="H50" i="1"/>
  <c r="BU5" i="1"/>
  <c r="BV5" i="1"/>
  <c r="J50" i="1"/>
  <c r="BW5" i="1"/>
  <c r="K50" i="1"/>
  <c r="F54" i="1"/>
  <c r="BX5" i="1"/>
  <c r="G54" i="1"/>
  <c r="BY5" i="1"/>
  <c r="H54" i="1"/>
  <c r="BZ5" i="1"/>
  <c r="CA5" i="1"/>
  <c r="J54" i="1"/>
  <c r="CB5" i="1"/>
  <c r="K54" i="1"/>
  <c r="F58" i="1"/>
  <c r="F3" i="1"/>
  <c r="CC5" i="1"/>
  <c r="G58" i="1"/>
  <c r="G3" i="1"/>
  <c r="CD5" i="1"/>
  <c r="H58" i="1"/>
  <c r="H3" i="1"/>
  <c r="CE5" i="1"/>
  <c r="CF5" i="1"/>
  <c r="J58" i="1"/>
  <c r="J3" i="1"/>
  <c r="CG5" i="1"/>
  <c r="K58" i="1"/>
  <c r="C6" i="1"/>
  <c r="K3" i="1"/>
</calcChain>
</file>

<file path=xl/comments1.xml><?xml version="1.0" encoding="utf-8"?>
<comments xmlns="http://schemas.openxmlformats.org/spreadsheetml/2006/main">
  <authors>
    <author>Auteur</author>
  </authors>
  <commentList>
    <comment ref="C3" authorId="0">
      <text>
        <r>
          <rPr>
            <b/>
            <sz val="8"/>
            <color indexed="81"/>
            <rFont val="Tahoma"/>
            <family val="2"/>
          </rPr>
          <t>Renseigner au début du trimestre, ne plus toucher ensuite ! Profitez en pour procéder à des augmentation de capital.</t>
        </r>
      </text>
    </comment>
    <comment ref="F3" authorId="0">
      <text>
        <r>
          <rPr>
            <b/>
            <sz val="8"/>
            <color indexed="81"/>
            <rFont val="Tahoma"/>
            <family val="2"/>
          </rPr>
          <t>Total des gains en % du lundi, sur tout le trimestre.
Idem pour les autres jours bien sur.</t>
        </r>
      </text>
    </comment>
    <comment ref="K3" authorId="0">
      <text>
        <r>
          <rPr>
            <b/>
            <sz val="8"/>
            <color indexed="81"/>
            <rFont val="Tahoma"/>
            <family val="2"/>
          </rPr>
          <t>% d'augmentation total sur le trimestre. L'idéal est d'atteindre l'objectif que vous vous fixez dans la case à droite.</t>
        </r>
      </text>
    </comment>
    <comment ref="L3" authorId="0">
      <text>
        <r>
          <rPr>
            <b/>
            <sz val="8"/>
            <color indexed="81"/>
            <rFont val="Tahoma"/>
            <family val="2"/>
          </rPr>
          <t>Renseignez l'objectif que vous vous fixez pour le trimestre.</t>
        </r>
      </text>
    </comment>
    <comment ref="F6" authorId="0">
      <text>
        <r>
          <rPr>
            <b/>
            <sz val="8"/>
            <color indexed="81"/>
            <rFont val="Tahoma"/>
            <family val="2"/>
          </rPr>
          <t>% d'augmentation du jour</t>
        </r>
      </text>
    </comment>
    <comment ref="K6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L6" authorId="0">
      <text>
        <r>
          <rPr>
            <b/>
            <sz val="8"/>
            <color indexed="81"/>
            <rFont val="Tahoma"/>
            <family val="2"/>
          </rPr>
          <t>Avez-vous respecté les règles que vous avez fixé dans votre stratégie ?</t>
        </r>
      </text>
    </comment>
    <comment ref="M6" authorId="0">
      <text>
        <r>
          <rPr>
            <b/>
            <sz val="8"/>
            <color indexed="81"/>
            <rFont val="Tahoma"/>
            <family val="2"/>
          </rPr>
          <t>Si vous testez plusieurs stratégies. Précisez quelle stratégie vous avez utilisée cette semaine la.</t>
        </r>
      </text>
    </comment>
    <comment ref="C8" authorId="0">
      <text>
        <r>
          <rPr>
            <b/>
            <sz val="8"/>
            <color indexed="81"/>
            <rFont val="Tahoma"/>
            <family val="2"/>
          </rPr>
          <t>Vos objectifs d'augmentation du capital pour le trimestre.</t>
        </r>
      </text>
    </comment>
    <comment ref="E8" authorId="0">
      <text>
        <r>
          <rPr>
            <b/>
            <sz val="8"/>
            <color indexed="81"/>
            <rFont val="Tahoma"/>
            <family val="2"/>
          </rPr>
          <t>Renseignez combien d'argent vous avez gagné ou perdu ( en euros )dans la journée. Pour une perte, mettez le signe "-" devant. 
Laissez vide si vous n'avez soldé aucune postion.</t>
        </r>
      </text>
    </comment>
    <comment ref="F8" authorId="0">
      <text>
        <r>
          <rPr>
            <b/>
            <sz val="8"/>
            <color indexed="81"/>
            <rFont val="Tahoma"/>
            <family val="2"/>
          </rPr>
          <t>Gain/perte réalisée chaque jour. Si vous souhaitez procéder à une augmentation de capital à l'intérieur d'un trimestre, ajoutez le dans un gain/perte pour ne pas fausser toute la feuille.</t>
        </r>
      </text>
    </comment>
    <comment ref="F9" authorId="0">
      <text>
        <r>
          <rPr>
            <b/>
            <sz val="8"/>
            <color indexed="81"/>
            <rFont val="Tahoma"/>
            <family val="2"/>
          </rPr>
          <t>Votre capital à la fin de la journée</t>
        </r>
      </text>
    </comment>
    <comment ref="K10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14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18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22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26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30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34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38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42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46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50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54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  <comment ref="K58" authorId="0">
      <text>
        <r>
          <rPr>
            <b/>
            <sz val="8"/>
            <color indexed="81"/>
            <rFont val="Tahoma"/>
            <family val="2"/>
          </rPr>
          <t xml:space="preserve">Gain en % sur la semaine.
</t>
        </r>
      </text>
    </comment>
  </commentList>
</comments>
</file>

<file path=xl/sharedStrings.xml><?xml version="1.0" encoding="utf-8"?>
<sst xmlns="http://schemas.openxmlformats.org/spreadsheetml/2006/main" count="343" uniqueCount="182">
  <si>
    <t>Debut</t>
  </si>
  <si>
    <t>Fin</t>
  </si>
  <si>
    <t>Totaux</t>
  </si>
  <si>
    <t>Semaine</t>
  </si>
  <si>
    <t>Lundi</t>
  </si>
  <si>
    <t>Mardi</t>
  </si>
  <si>
    <t>Jeudi</t>
  </si>
  <si>
    <t>Vendredi</t>
  </si>
  <si>
    <t>Mercredi</t>
  </si>
  <si>
    <t>% d'augmentation</t>
  </si>
  <si>
    <t>Montant gagné</t>
  </si>
  <si>
    <t>Euro</t>
  </si>
  <si>
    <t>Monnaie</t>
  </si>
  <si>
    <t xml:space="preserve">Objectif 1 </t>
  </si>
  <si>
    <t xml:space="preserve">Objectif 2 </t>
  </si>
  <si>
    <t xml:space="preserve">Objectif 3 </t>
  </si>
  <si>
    <t>Attention : Les cases contenant des chiffres en couleurs contiennent des formules et ne doivent pas être modifiées ! ( sauf si vous savez ce que vous faites )</t>
  </si>
  <si>
    <t>Gain/Perte</t>
  </si>
  <si>
    <t>Capital actuel</t>
  </si>
  <si>
    <t>Capital départ trimestre</t>
  </si>
  <si>
    <t>% Augmentation</t>
  </si>
  <si>
    <t>Objectif en %</t>
  </si>
  <si>
    <t>Commentaires sur la semaine</t>
  </si>
  <si>
    <t>Règles respectées ?</t>
  </si>
  <si>
    <t>Stratégie utilisée</t>
  </si>
  <si>
    <t>Notes</t>
  </si>
  <si>
    <t>Au début du trimestre, renseignez votre capital de départ, puis chaque jour le gain ou la perte réalisée. Tout le reste se calculera automatiquement.</t>
  </si>
  <si>
    <t>Chaque trimestre, dupliquez cette feuille pour garder votre historique total.</t>
  </si>
  <si>
    <t>En rouge : moyenne mobile à 5 périodes : Attention si votre courbe bleue reste longtemps sous la courbe rouge !</t>
  </si>
  <si>
    <t>Jour</t>
  </si>
  <si>
    <t>Instrument</t>
  </si>
  <si>
    <t>Position</t>
  </si>
  <si>
    <t>Type Trading</t>
  </si>
  <si>
    <t>EURUSD</t>
  </si>
  <si>
    <t>Random</t>
  </si>
  <si>
    <t>L</t>
  </si>
  <si>
    <t>PXI</t>
  </si>
  <si>
    <t>Gain</t>
  </si>
  <si>
    <t>Perte</t>
  </si>
  <si>
    <t>Ratio P/L</t>
  </si>
  <si>
    <t>Ratio</t>
  </si>
  <si>
    <t>CUMUL</t>
  </si>
  <si>
    <t>Nbre Gain</t>
  </si>
  <si>
    <t>Nbre Perte</t>
  </si>
  <si>
    <t>TS AR</t>
  </si>
  <si>
    <t>Cross</t>
  </si>
  <si>
    <t>EURJPY</t>
  </si>
  <si>
    <t>Hich</t>
  </si>
  <si>
    <t>Swing</t>
  </si>
  <si>
    <t>Check`</t>
  </si>
  <si>
    <t>Sens</t>
  </si>
  <si>
    <t>Stratégie</t>
  </si>
  <si>
    <t>Risque Pris</t>
  </si>
  <si>
    <t>F40</t>
  </si>
  <si>
    <t>Deposit</t>
  </si>
  <si>
    <t>Système</t>
  </si>
  <si>
    <t>Manuel</t>
  </si>
  <si>
    <t>En Italique</t>
  </si>
  <si>
    <t>En attente</t>
  </si>
  <si>
    <t>Estimation</t>
  </si>
  <si>
    <t>TOTAL</t>
  </si>
  <si>
    <t>Commentaire</t>
  </si>
  <si>
    <t>FTSE</t>
  </si>
  <si>
    <t>Support</t>
  </si>
  <si>
    <t>Valeur du Pips</t>
  </si>
  <si>
    <t>Mini</t>
  </si>
  <si>
    <t>Valeur du contrat</t>
  </si>
  <si>
    <t>Pips en %</t>
  </si>
  <si>
    <t>Amplitude</t>
  </si>
  <si>
    <t>H30</t>
  </si>
  <si>
    <t>H1</t>
  </si>
  <si>
    <t>H4</t>
  </si>
  <si>
    <t>D</t>
  </si>
  <si>
    <t>W</t>
  </si>
  <si>
    <t>M</t>
  </si>
  <si>
    <t>EURGBP</t>
  </si>
  <si>
    <t>DAX</t>
  </si>
  <si>
    <t>E50</t>
  </si>
  <si>
    <t>GOLD</t>
  </si>
  <si>
    <t>oui</t>
  </si>
  <si>
    <t>Nominal indicatif</t>
  </si>
  <si>
    <t>Taille pips</t>
  </si>
  <si>
    <t>Amplitude en pips</t>
  </si>
  <si>
    <t>Sensibilité par stoploss</t>
  </si>
  <si>
    <t>Risque en Euros</t>
  </si>
  <si>
    <t>Taille mini</t>
  </si>
  <si>
    <t>Liste des instruments et caractérstiques</t>
  </si>
  <si>
    <t>Code</t>
  </si>
  <si>
    <t>Devise</t>
  </si>
  <si>
    <t>Type</t>
  </si>
  <si>
    <t>Valeur contrat</t>
  </si>
  <si>
    <t>Valeur Pips</t>
  </si>
  <si>
    <t>Code instrument</t>
  </si>
  <si>
    <t>Cours de change</t>
  </si>
  <si>
    <t>Cours en €</t>
  </si>
  <si>
    <t>Type Instrument</t>
  </si>
  <si>
    <t>Indice</t>
  </si>
  <si>
    <t>Forex</t>
  </si>
  <si>
    <t>Métal</t>
  </si>
  <si>
    <t>EURCHF</t>
  </si>
  <si>
    <t>Date MàJ</t>
  </si>
  <si>
    <t>GOLD10</t>
  </si>
  <si>
    <t>Taille Pips</t>
  </si>
  <si>
    <t>Spread fixe</t>
  </si>
  <si>
    <t>Spread en %</t>
  </si>
  <si>
    <t>Ordre minimum</t>
  </si>
  <si>
    <t>Ecart mini au Stop</t>
  </si>
  <si>
    <t>Ecart mini au stop garanti</t>
  </si>
  <si>
    <t>Cours indicatif</t>
  </si>
  <si>
    <t>USD</t>
  </si>
  <si>
    <t>JPY</t>
  </si>
  <si>
    <t>GBP</t>
  </si>
  <si>
    <t>CHF</t>
  </si>
  <si>
    <t>Oui</t>
  </si>
  <si>
    <t>C/V Pips€</t>
  </si>
  <si>
    <t>EUR</t>
  </si>
  <si>
    <t>Levier selon capital mini par contrat</t>
  </si>
  <si>
    <t>Onglet en bleu</t>
  </si>
  <si>
    <t>Reporting</t>
  </si>
  <si>
    <t>Onglet en Orange</t>
  </si>
  <si>
    <t>Saisie</t>
  </si>
  <si>
    <t>Onglet en Jaune</t>
  </si>
  <si>
    <t>Outils de calcul et simulation</t>
  </si>
  <si>
    <t>Onglet en Rouge</t>
  </si>
  <si>
    <t>Datas et base des instruments</t>
  </si>
  <si>
    <t>Les différents onglets</t>
  </si>
  <si>
    <t>Date de départ :</t>
  </si>
  <si>
    <t>Saisie Obligatoire</t>
  </si>
  <si>
    <t>Capital disponible</t>
  </si>
  <si>
    <t>C/V risque Maxi</t>
  </si>
  <si>
    <t>par trade</t>
  </si>
  <si>
    <t>Simulation</t>
  </si>
  <si>
    <t>Stop Loss</t>
  </si>
  <si>
    <t>Nombre de lots</t>
  </si>
  <si>
    <t>Calcul</t>
  </si>
  <si>
    <t>Durée du trading recommandée en fonction de la volatilité</t>
  </si>
  <si>
    <t>Nbre de lot</t>
  </si>
  <si>
    <t>Levier</t>
  </si>
  <si>
    <t>Horizon Maxi</t>
  </si>
  <si>
    <t>M30</t>
  </si>
  <si>
    <t>Rentrer le stop loss souhaité ou le nombre de lot (pas les 2) et laisser en blanc la seconde possibilité</t>
  </si>
  <si>
    <t>Calcul le stop loss seln les lots et le risque maxi (ou les lots selon stop loss et risque maxi)</t>
  </si>
  <si>
    <t>Saisir risque maxi</t>
  </si>
  <si>
    <t>Reporter dans la case de gauche l'horizon correspondant à la volatilité la plus proche (borne inférieure) du stop loss déterminé</t>
  </si>
  <si>
    <t>Swing Fibo</t>
  </si>
  <si>
    <t>Premier trade après le test d'hier.</t>
  </si>
  <si>
    <t>Taille position</t>
  </si>
  <si>
    <t>Mise à jour :</t>
  </si>
  <si>
    <t>S</t>
  </si>
  <si>
    <t>P/L réel</t>
  </si>
  <si>
    <t>Ratio G/R</t>
  </si>
  <si>
    <t>Second trade USD court</t>
  </si>
  <si>
    <t>GOLDONE</t>
  </si>
  <si>
    <t>Swing Pivot</t>
  </si>
  <si>
    <t>Essai point pivot sur la base des daily</t>
  </si>
  <si>
    <t xml:space="preserve">Durée position </t>
  </si>
  <si>
    <t>H/D/W/M</t>
  </si>
  <si>
    <t>H</t>
  </si>
  <si>
    <t>Position long dans le temps. Un coup de swing sur le pivot et Fibo</t>
  </si>
  <si>
    <t>Data</t>
  </si>
  <si>
    <t>Pour maj des tables</t>
  </si>
  <si>
    <t>Instruments</t>
  </si>
  <si>
    <t>Liste des instruments tradés et principales caractéristiques reprises automatiquement dans les autres feuilles</t>
  </si>
  <si>
    <t>Pips et volatilité</t>
  </si>
  <si>
    <t>Calcul des sensibilité par timeframe et instruments</t>
  </si>
  <si>
    <t>Suivi position</t>
  </si>
  <si>
    <t>Saisie des positions en cours et historisation du passé</t>
  </si>
  <si>
    <t>Positions Forex&amp;Indice</t>
  </si>
  <si>
    <t>Simulation des risques et money management</t>
  </si>
  <si>
    <t>Gains et pertes daily</t>
  </si>
  <si>
    <t>Journal de trading avec P/L quotidien</t>
  </si>
  <si>
    <t>Evolution Capital</t>
  </si>
  <si>
    <t>Graphique de reporting</t>
  </si>
  <si>
    <t>Journal Trimestre</t>
  </si>
  <si>
    <t>Reporting des P/L par jour et par semaine</t>
  </si>
  <si>
    <t>Simulation position par sensibilité</t>
  </si>
  <si>
    <t>A venir :</t>
  </si>
  <si>
    <t>Reporting plus détaillé</t>
  </si>
  <si>
    <t>Légende des couleurs principales utilisées</t>
  </si>
  <si>
    <t>Calcul automatique - NE PAS MODIFIER</t>
  </si>
  <si>
    <t>Corrélation timefrade, volatilité et trade plus affinée</t>
  </si>
  <si>
    <t>Drawdown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</si>
</sst>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6" formatCode="#,##0\ &quot;€&quot;_);[Red]\(#,##0\ &quot;€&quot;\)"/>
    <numFmt numFmtId="8" formatCode="#,##0.00\ &quot;€&quot;_);[Red]\(#,##0.00\ &quot;€&quot;\)"/>
    <numFmt numFmtId="164" formatCode="_-* #,##0.00\ _€_-;\-* #,##0.00\ _€_-;_-* &quot;-&quot;??\ _€_-;_-@_-"/>
    <numFmt numFmtId="165" formatCode="0.0%"/>
    <numFmt numFmtId="166" formatCode="_-* #,##0.00\ [$€-40C]_-;\-* #,##0.00\ [$€-40C]_-;_-* &quot;-&quot;??\ [$€-40C]_-;_-@_-"/>
    <numFmt numFmtId="167" formatCode="#,##0.00\ [$€-40C];[Red]\-#,##0.00\ [$€-40C]"/>
    <numFmt numFmtId="168" formatCode="#,##0.00\ [$€-40C];[Red]#,##0.00\ [$€-40C]"/>
    <numFmt numFmtId="169" formatCode="0.00_);[Red]\(0.00\)"/>
    <numFmt numFmtId="170" formatCode="#,##0.00_);[Red]\(#,##0.00\)"/>
    <numFmt numFmtId="171" formatCode="0.0"/>
    <numFmt numFmtId="172" formatCode="_-* #,##0\ [$€-40C]_-;\-* #,##0\ [$€-40C]_-;_-* &quot;-&quot;??\ [$€-40C]_-;_-@_-"/>
    <numFmt numFmtId="173" formatCode="_([$$-409]* #,##0.00_);_([$$-409]* \(#,##0.00\);_([$$-409]* &quot;-&quot;??_);_(@_)"/>
    <numFmt numFmtId="174" formatCode="_-* #,##0.0\ _€_-;\-* #,##0.0\ _€_-;_-* &quot;-&quot;??\ _€_-;_-@_-"/>
    <numFmt numFmtId="175" formatCode="_-* #,##0\ _€_-;\-* #,##0\ _€_-;_-* &quot;-&quot;??\ _€_-;_-@_-"/>
    <numFmt numFmtId="176" formatCode="[$£-809]#,##0.00"/>
    <numFmt numFmtId="177" formatCode="[$£-809]#,##0.000"/>
    <numFmt numFmtId="178" formatCode="[$$-409]#,##0.00_);\([$$-409]#,##0.00\)"/>
    <numFmt numFmtId="179" formatCode="[$¥-411]#,##0.00"/>
    <numFmt numFmtId="180" formatCode="_-* #,##0.000\ _€_-;\-* #,##0.000\ _€_-;_-* &quot;-&quot;??\ _€_-;_-@_-"/>
  </numFmts>
  <fonts count="35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theme="9"/>
      <name val="Calibri"/>
      <family val="2"/>
      <scheme val="minor"/>
    </font>
    <font>
      <sz val="11"/>
      <color theme="2" tint="-0.499984740745262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FFED0F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</fills>
  <borders count="40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/>
      <right/>
      <top/>
      <bottom style="thin">
        <color rgb="FFFFC000"/>
      </bottom>
      <diagonal/>
    </border>
    <border>
      <left/>
      <right style="thin">
        <color rgb="FFFFC000"/>
      </right>
      <top/>
      <bottom/>
      <diagonal/>
    </border>
  </borders>
  <cellStyleXfs count="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226">
    <xf numFmtId="0" fontId="0" fillId="0" borderId="0" xfId="0"/>
    <xf numFmtId="0" fontId="6" fillId="0" borderId="0" xfId="0" applyFont="1"/>
    <xf numFmtId="0" fontId="0" fillId="0" borderId="1" xfId="0" applyBorder="1"/>
    <xf numFmtId="0" fontId="0" fillId="0" borderId="0" xfId="0" applyBorder="1"/>
    <xf numFmtId="0" fontId="6" fillId="0" borderId="2" xfId="0" applyFont="1" applyBorder="1"/>
    <xf numFmtId="0" fontId="6" fillId="0" borderId="3" xfId="0" applyFont="1" applyBorder="1"/>
    <xf numFmtId="0" fontId="6" fillId="0" borderId="4" xfId="0" applyFont="1" applyBorder="1"/>
    <xf numFmtId="0" fontId="6" fillId="0" borderId="5" xfId="0" applyFont="1" applyBorder="1"/>
    <xf numFmtId="0" fontId="0" fillId="0" borderId="6" xfId="0" applyBorder="1"/>
    <xf numFmtId="0" fontId="0" fillId="0" borderId="7" xfId="0" applyBorder="1"/>
    <xf numFmtId="0" fontId="0" fillId="0" borderId="3" xfId="0" applyBorder="1"/>
    <xf numFmtId="0" fontId="0" fillId="0" borderId="4" xfId="0" applyBorder="1"/>
    <xf numFmtId="0" fontId="7" fillId="0" borderId="8" xfId="0" applyFont="1" applyBorder="1"/>
    <xf numFmtId="0" fontId="6" fillId="0" borderId="0" xfId="0" applyFont="1" applyBorder="1"/>
    <xf numFmtId="0" fontId="6" fillId="0" borderId="9" xfId="0" applyFont="1" applyBorder="1"/>
    <xf numFmtId="0" fontId="6" fillId="0" borderId="9" xfId="0" applyFont="1" applyFill="1" applyBorder="1"/>
    <xf numFmtId="0" fontId="6" fillId="0" borderId="10" xfId="0" applyFont="1" applyBorder="1"/>
    <xf numFmtId="0" fontId="0" fillId="0" borderId="5" xfId="0" applyBorder="1"/>
    <xf numFmtId="0" fontId="0" fillId="0" borderId="0" xfId="0" applyFill="1" applyBorder="1"/>
    <xf numFmtId="0" fontId="8" fillId="0" borderId="11" xfId="0" applyFont="1" applyBorder="1"/>
    <xf numFmtId="0" fontId="9" fillId="0" borderId="5" xfId="0" applyFont="1" applyBorder="1"/>
    <xf numFmtId="0" fontId="9" fillId="0" borderId="12" xfId="0" applyFont="1" applyBorder="1"/>
    <xf numFmtId="0" fontId="0" fillId="0" borderId="13" xfId="0" applyBorder="1"/>
    <xf numFmtId="0" fontId="7" fillId="0" borderId="11" xfId="0" applyFont="1" applyBorder="1"/>
    <xf numFmtId="0" fontId="8" fillId="0" borderId="5" xfId="0" applyFont="1" applyBorder="1"/>
    <xf numFmtId="0" fontId="8" fillId="0" borderId="10" xfId="0" applyFont="1" applyBorder="1"/>
    <xf numFmtId="0" fontId="0" fillId="0" borderId="14" xfId="0" applyBorder="1" applyAlignment="1">
      <alignment horizontal="right" vertical="center"/>
    </xf>
    <xf numFmtId="0" fontId="0" fillId="2" borderId="0" xfId="0" applyFill="1" applyBorder="1"/>
    <xf numFmtId="0" fontId="10" fillId="0" borderId="15" xfId="0" applyNumberFormat="1" applyFont="1" applyBorder="1"/>
    <xf numFmtId="0" fontId="11" fillId="0" borderId="16" xfId="0" applyFont="1" applyBorder="1"/>
    <xf numFmtId="0" fontId="11" fillId="0" borderId="17" xfId="0" applyFont="1" applyBorder="1"/>
    <xf numFmtId="0" fontId="11" fillId="0" borderId="7" xfId="0" applyFont="1" applyBorder="1"/>
    <xf numFmtId="0" fontId="5" fillId="0" borderId="2" xfId="0" applyFont="1" applyBorder="1"/>
    <xf numFmtId="0" fontId="11" fillId="0" borderId="0" xfId="0" applyFont="1" applyBorder="1"/>
    <xf numFmtId="0" fontId="12" fillId="0" borderId="0" xfId="0" applyFont="1" applyBorder="1"/>
    <xf numFmtId="0" fontId="10" fillId="0" borderId="0" xfId="0" applyNumberFormat="1" applyFont="1" applyBorder="1"/>
    <xf numFmtId="0" fontId="5" fillId="0" borderId="0" xfId="0" applyFont="1" applyBorder="1"/>
    <xf numFmtId="0" fontId="13" fillId="3" borderId="18" xfId="0" applyFont="1" applyFill="1" applyBorder="1"/>
    <xf numFmtId="0" fontId="14" fillId="0" borderId="19" xfId="0" applyFont="1" applyBorder="1"/>
    <xf numFmtId="0" fontId="0" fillId="0" borderId="1" xfId="0" applyFont="1" applyFill="1" applyBorder="1" applyAlignment="1">
      <alignment vertical="center" wrapText="1"/>
    </xf>
    <xf numFmtId="0" fontId="15" fillId="0" borderId="2" xfId="0" applyFont="1" applyBorder="1"/>
    <xf numFmtId="0" fontId="6" fillId="4" borderId="2" xfId="0" applyFont="1" applyFill="1" applyBorder="1"/>
    <xf numFmtId="0" fontId="6" fillId="4" borderId="20" xfId="0" applyFont="1" applyFill="1" applyBorder="1"/>
    <xf numFmtId="0" fontId="6" fillId="4" borderId="15" xfId="0" applyFont="1" applyFill="1" applyBorder="1"/>
    <xf numFmtId="0" fontId="6" fillId="2" borderId="0" xfId="0" applyFont="1" applyFill="1" applyBorder="1" applyAlignment="1"/>
    <xf numFmtId="0" fontId="8" fillId="0" borderId="0" xfId="0" applyFont="1"/>
    <xf numFmtId="14" fontId="0" fillId="0" borderId="0" xfId="0" applyNumberFormat="1"/>
    <xf numFmtId="167" fontId="0" fillId="0" borderId="0" xfId="0" applyNumberFormat="1"/>
    <xf numFmtId="0" fontId="3" fillId="5" borderId="18" xfId="0" applyFont="1" applyFill="1" applyBorder="1" applyAlignment="1">
      <alignment horizontal="center"/>
    </xf>
    <xf numFmtId="0" fontId="3" fillId="5" borderId="13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0" fillId="0" borderId="16" xfId="0" applyBorder="1"/>
    <xf numFmtId="0" fontId="4" fillId="0" borderId="17" xfId="0" applyFont="1" applyFill="1" applyBorder="1"/>
    <xf numFmtId="164" fontId="2" fillId="0" borderId="7" xfId="1" applyFont="1" applyBorder="1"/>
    <xf numFmtId="167" fontId="3" fillId="5" borderId="6" xfId="0" applyNumberFormat="1" applyFont="1" applyFill="1" applyBorder="1" applyAlignment="1">
      <alignment horizontal="center"/>
    </xf>
    <xf numFmtId="167" fontId="0" fillId="0" borderId="16" xfId="0" applyNumberFormat="1" applyBorder="1"/>
    <xf numFmtId="167" fontId="0" fillId="0" borderId="17" xfId="0" applyNumberFormat="1" applyBorder="1"/>
    <xf numFmtId="0" fontId="16" fillId="5" borderId="21" xfId="0" applyFont="1" applyFill="1" applyBorder="1" applyAlignment="1">
      <alignment horizontal="center"/>
    </xf>
    <xf numFmtId="167" fontId="17" fillId="0" borderId="4" xfId="0" applyNumberFormat="1" applyFont="1" applyBorder="1"/>
    <xf numFmtId="169" fontId="18" fillId="0" borderId="22" xfId="1" applyNumberFormat="1" applyFont="1" applyBorder="1"/>
    <xf numFmtId="169" fontId="18" fillId="0" borderId="9" xfId="1" applyNumberFormat="1" applyFont="1" applyBorder="1"/>
    <xf numFmtId="170" fontId="10" fillId="0" borderId="15" xfId="1" applyNumberFormat="1" applyFont="1" applyBorder="1"/>
    <xf numFmtId="170" fontId="10" fillId="0" borderId="2" xfId="1" applyNumberFormat="1" applyFont="1" applyBorder="1"/>
    <xf numFmtId="170" fontId="5" fillId="0" borderId="2" xfId="1" applyNumberFormat="1" applyFont="1" applyBorder="1"/>
    <xf numFmtId="0" fontId="19" fillId="0" borderId="23" xfId="0" applyFont="1" applyBorder="1"/>
    <xf numFmtId="0" fontId="6" fillId="7" borderId="0" xfId="0" applyFont="1" applyFill="1"/>
    <xf numFmtId="167" fontId="6" fillId="7" borderId="0" xfId="0" applyNumberFormat="1" applyFont="1" applyFill="1"/>
    <xf numFmtId="0" fontId="20" fillId="0" borderId="0" xfId="0" applyFont="1"/>
    <xf numFmtId="168" fontId="20" fillId="0" borderId="0" xfId="0" applyNumberFormat="1" applyFont="1"/>
    <xf numFmtId="0" fontId="6" fillId="7" borderId="0" xfId="0" applyFont="1" applyFill="1" applyAlignment="1">
      <alignment horizontal="center"/>
    </xf>
    <xf numFmtId="0" fontId="21" fillId="0" borderId="0" xfId="0" applyFont="1"/>
    <xf numFmtId="0" fontId="0" fillId="7" borderId="0" xfId="0" applyFill="1"/>
    <xf numFmtId="0" fontId="23" fillId="0" borderId="0" xfId="0" applyFont="1"/>
    <xf numFmtId="0" fontId="0" fillId="0" borderId="0" xfId="0" applyAlignment="1">
      <alignment horizontal="center"/>
    </xf>
    <xf numFmtId="0" fontId="4" fillId="0" borderId="0" xfId="0" applyFont="1" applyBorder="1"/>
    <xf numFmtId="0" fontId="24" fillId="0" borderId="0" xfId="0" applyFont="1" applyBorder="1"/>
    <xf numFmtId="0" fontId="0" fillId="9" borderId="24" xfId="0" applyFill="1" applyBorder="1"/>
    <xf numFmtId="0" fontId="0" fillId="9" borderId="0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center" wrapText="1"/>
    </xf>
    <xf numFmtId="8" fontId="0" fillId="0" borderId="0" xfId="0" applyNumberFormat="1"/>
    <xf numFmtId="2" fontId="10" fillId="0" borderId="15" xfId="0" applyNumberFormat="1" applyFont="1" applyBorder="1"/>
    <xf numFmtId="173" fontId="0" fillId="0" borderId="0" xfId="0" applyNumberFormat="1"/>
    <xf numFmtId="175" fontId="0" fillId="0" borderId="0" xfId="0" applyNumberFormat="1"/>
    <xf numFmtId="0" fontId="0" fillId="7" borderId="0" xfId="0" applyFill="1" applyAlignment="1">
      <alignment horizontal="center" vertical="center" wrapText="1"/>
    </xf>
    <xf numFmtId="0" fontId="0" fillId="0" borderId="25" xfId="0" applyBorder="1"/>
    <xf numFmtId="173" fontId="0" fillId="0" borderId="25" xfId="0" applyNumberFormat="1" applyBorder="1"/>
    <xf numFmtId="166" fontId="0" fillId="0" borderId="25" xfId="0" applyNumberFormat="1" applyBorder="1"/>
    <xf numFmtId="175" fontId="2" fillId="0" borderId="25" xfId="1" applyNumberFormat="1" applyFont="1" applyBorder="1"/>
    <xf numFmtId="0" fontId="0" fillId="0" borderId="26" xfId="0" applyBorder="1"/>
    <xf numFmtId="166" fontId="0" fillId="0" borderId="26" xfId="0" applyNumberFormat="1" applyBorder="1"/>
    <xf numFmtId="175" fontId="2" fillId="0" borderId="26" xfId="1" applyNumberFormat="1" applyFont="1" applyBorder="1"/>
    <xf numFmtId="177" fontId="0" fillId="0" borderId="26" xfId="0" applyNumberFormat="1" applyBorder="1"/>
    <xf numFmtId="0" fontId="0" fillId="0" borderId="27" xfId="0" applyBorder="1"/>
    <xf numFmtId="166" fontId="0" fillId="0" borderId="27" xfId="0" applyNumberFormat="1" applyBorder="1"/>
    <xf numFmtId="175" fontId="2" fillId="0" borderId="27" xfId="1" applyNumberFormat="1" applyFont="1" applyBorder="1"/>
    <xf numFmtId="0" fontId="0" fillId="7" borderId="1" xfId="0" applyFill="1" applyBorder="1" applyAlignment="1">
      <alignment horizontal="center" vertical="center" wrapText="1"/>
    </xf>
    <xf numFmtId="10" fontId="2" fillId="0" borderId="28" xfId="2" applyNumberFormat="1" applyFont="1" applyBorder="1"/>
    <xf numFmtId="10" fontId="2" fillId="0" borderId="29" xfId="2" applyNumberFormat="1" applyFont="1" applyBorder="1"/>
    <xf numFmtId="10" fontId="2" fillId="0" borderId="30" xfId="2" applyNumberFormat="1" applyFont="1" applyBorder="1"/>
    <xf numFmtId="174" fontId="2" fillId="0" borderId="27" xfId="1" applyNumberFormat="1" applyFont="1" applyBorder="1"/>
    <xf numFmtId="0" fontId="25" fillId="0" borderId="0" xfId="0" applyFont="1"/>
    <xf numFmtId="173" fontId="25" fillId="0" borderId="0" xfId="0" applyNumberFormat="1" applyFont="1"/>
    <xf numFmtId="176" fontId="25" fillId="0" borderId="0" xfId="0" applyNumberFormat="1" applyFont="1"/>
    <xf numFmtId="6" fontId="25" fillId="0" borderId="0" xfId="0" applyNumberFormat="1" applyFont="1"/>
    <xf numFmtId="178" fontId="0" fillId="0" borderId="25" xfId="0" applyNumberFormat="1" applyBorder="1"/>
    <xf numFmtId="0" fontId="0" fillId="0" borderId="0" xfId="0" applyAlignment="1">
      <alignment wrapText="1"/>
    </xf>
    <xf numFmtId="0" fontId="3" fillId="10" borderId="0" xfId="0" applyFont="1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0" fontId="3" fillId="13" borderId="0" xfId="0" applyFont="1" applyFill="1" applyAlignment="1">
      <alignment horizontal="center" vertical="center" wrapText="1"/>
    </xf>
    <xf numFmtId="0" fontId="0" fillId="14" borderId="0" xfId="0" applyFont="1" applyFill="1" applyAlignment="1">
      <alignment horizontal="center" vertical="center" wrapText="1"/>
    </xf>
    <xf numFmtId="0" fontId="0" fillId="8" borderId="0" xfId="0" applyFont="1" applyFill="1" applyAlignment="1">
      <alignment horizontal="center" vertical="center" wrapText="1"/>
    </xf>
    <xf numFmtId="6" fontId="0" fillId="0" borderId="0" xfId="0" applyNumberFormat="1" applyFont="1" applyFill="1"/>
    <xf numFmtId="172" fontId="0" fillId="0" borderId="0" xfId="0" applyNumberFormat="1"/>
    <xf numFmtId="175" fontId="2" fillId="0" borderId="0" xfId="1" applyNumberFormat="1" applyFont="1" applyFill="1"/>
    <xf numFmtId="175" fontId="4" fillId="0" borderId="0" xfId="1" applyNumberFormat="1" applyFont="1" applyFill="1"/>
    <xf numFmtId="175" fontId="2" fillId="14" borderId="0" xfId="1" applyNumberFormat="1" applyFont="1" applyFill="1"/>
    <xf numFmtId="175" fontId="2" fillId="10" borderId="0" xfId="1" applyNumberFormat="1" applyFont="1" applyFill="1"/>
    <xf numFmtId="175" fontId="3" fillId="11" borderId="0" xfId="1" applyNumberFormat="1" applyFont="1" applyFill="1"/>
    <xf numFmtId="175" fontId="3" fillId="13" borderId="0" xfId="1" applyNumberFormat="1" applyFont="1" applyFill="1"/>
    <xf numFmtId="175" fontId="3" fillId="12" borderId="0" xfId="1" applyNumberFormat="1" applyFont="1" applyFill="1"/>
    <xf numFmtId="175" fontId="2" fillId="8" borderId="0" xfId="1" applyNumberFormat="1" applyFont="1" applyFill="1"/>
    <xf numFmtId="179" fontId="25" fillId="0" borderId="0" xfId="0" applyNumberFormat="1" applyFont="1"/>
    <xf numFmtId="0" fontId="26" fillId="0" borderId="0" xfId="0" applyFont="1"/>
    <xf numFmtId="0" fontId="4" fillId="0" borderId="26" xfId="0" applyFont="1" applyBorder="1"/>
    <xf numFmtId="166" fontId="4" fillId="0" borderId="26" xfId="0" applyNumberFormat="1" applyFont="1" applyBorder="1"/>
    <xf numFmtId="175" fontId="4" fillId="0" borderId="26" xfId="1" applyNumberFormat="1" applyFont="1" applyBorder="1"/>
    <xf numFmtId="10" fontId="4" fillId="0" borderId="29" xfId="2" applyNumberFormat="1" applyFont="1" applyBorder="1"/>
    <xf numFmtId="0" fontId="4" fillId="0" borderId="0" xfId="0" applyFont="1"/>
    <xf numFmtId="175" fontId="2" fillId="0" borderId="31" xfId="1" applyNumberFormat="1" applyFont="1" applyBorder="1"/>
    <xf numFmtId="0" fontId="0" fillId="0" borderId="31" xfId="0" applyBorder="1"/>
    <xf numFmtId="10" fontId="2" fillId="0" borderId="32" xfId="2" applyNumberFormat="1" applyFont="1" applyBorder="1"/>
    <xf numFmtId="175" fontId="2" fillId="0" borderId="0" xfId="1" applyNumberFormat="1" applyFont="1" applyBorder="1"/>
    <xf numFmtId="10" fontId="2" fillId="0" borderId="0" xfId="2" applyNumberFormat="1" applyFont="1" applyBorder="1"/>
    <xf numFmtId="0" fontId="0" fillId="7" borderId="33" xfId="0" applyFill="1" applyBorder="1" applyAlignment="1">
      <alignment horizontal="center" vertical="center" wrapText="1"/>
    </xf>
    <xf numFmtId="0" fontId="0" fillId="7" borderId="34" xfId="0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166" fontId="0" fillId="0" borderId="0" xfId="0" applyNumberFormat="1"/>
    <xf numFmtId="10" fontId="0" fillId="0" borderId="0" xfId="0" applyNumberFormat="1"/>
    <xf numFmtId="2" fontId="0" fillId="0" borderId="0" xfId="0" applyNumberFormat="1"/>
    <xf numFmtId="9" fontId="0" fillId="0" borderId="0" xfId="0" applyNumberFormat="1"/>
    <xf numFmtId="0" fontId="6" fillId="0" borderId="0" xfId="0" applyFont="1" applyAlignment="1">
      <alignment horizontal="center" vertical="center" wrapText="1"/>
    </xf>
    <xf numFmtId="0" fontId="6" fillId="7" borderId="0" xfId="0" applyFont="1" applyFill="1" applyAlignment="1">
      <alignment horizontal="center"/>
    </xf>
    <xf numFmtId="171" fontId="0" fillId="0" borderId="0" xfId="0" applyNumberFormat="1"/>
    <xf numFmtId="10" fontId="2" fillId="0" borderId="29" xfId="2" applyNumberFormat="1" applyFont="1" applyBorder="1"/>
    <xf numFmtId="0" fontId="0" fillId="0" borderId="36" xfId="0" applyBorder="1"/>
    <xf numFmtId="166" fontId="0" fillId="0" borderId="36" xfId="0" applyNumberFormat="1" applyBorder="1"/>
    <xf numFmtId="175" fontId="2" fillId="0" borderId="36" xfId="1" applyNumberFormat="1" applyFont="1" applyBorder="1"/>
    <xf numFmtId="165" fontId="0" fillId="0" borderId="36" xfId="0" applyNumberFormat="1" applyBorder="1"/>
    <xf numFmtId="165" fontId="0" fillId="0" borderId="25" xfId="0" applyNumberFormat="1" applyBorder="1"/>
    <xf numFmtId="165" fontId="0" fillId="0" borderId="26" xfId="0" applyNumberFormat="1" applyBorder="1"/>
    <xf numFmtId="165" fontId="4" fillId="0" borderId="26" xfId="0" applyNumberFormat="1" applyFont="1" applyBorder="1"/>
    <xf numFmtId="165" fontId="0" fillId="0" borderId="27" xfId="0" applyNumberFormat="1" applyBorder="1"/>
    <xf numFmtId="0" fontId="28" fillId="0" borderId="0" xfId="0" applyFont="1"/>
    <xf numFmtId="0" fontId="29" fillId="0" borderId="0" xfId="0" applyFont="1" applyFill="1"/>
    <xf numFmtId="0" fontId="6" fillId="17" borderId="2" xfId="0" applyFont="1" applyFill="1" applyBorder="1"/>
    <xf numFmtId="0" fontId="0" fillId="17" borderId="0" xfId="0" applyFill="1"/>
    <xf numFmtId="0" fontId="0" fillId="6" borderId="0" xfId="0" applyFill="1"/>
    <xf numFmtId="0" fontId="30" fillId="6" borderId="0" xfId="0" applyFont="1" applyFill="1" applyAlignment="1">
      <alignment horizontal="center" vertical="center" wrapText="1"/>
    </xf>
    <xf numFmtId="0" fontId="13" fillId="8" borderId="14" xfId="0" applyFont="1" applyFill="1" applyBorder="1"/>
    <xf numFmtId="10" fontId="30" fillId="0" borderId="19" xfId="2" applyNumberFormat="1" applyFont="1" applyBorder="1"/>
    <xf numFmtId="0" fontId="31" fillId="0" borderId="14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/>
    </xf>
    <xf numFmtId="0" fontId="0" fillId="8" borderId="0" xfId="0" applyFill="1"/>
    <xf numFmtId="166" fontId="4" fillId="0" borderId="0" xfId="0" applyNumberFormat="1" applyFont="1"/>
    <xf numFmtId="166" fontId="28" fillId="0" borderId="0" xfId="0" applyNumberFormat="1" applyFont="1"/>
    <xf numFmtId="0" fontId="0" fillId="18" borderId="0" xfId="0" applyFill="1"/>
    <xf numFmtId="0" fontId="32" fillId="0" borderId="0" xfId="0" applyFont="1"/>
    <xf numFmtId="0" fontId="27" fillId="0" borderId="0" xfId="0" applyFont="1"/>
    <xf numFmtId="0" fontId="33" fillId="0" borderId="0" xfId="0" applyFont="1" applyAlignment="1">
      <alignment horizontal="center"/>
    </xf>
    <xf numFmtId="171" fontId="32" fillId="0" borderId="0" xfId="0" applyNumberFormat="1" applyFont="1"/>
    <xf numFmtId="0" fontId="6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166" fontId="23" fillId="8" borderId="0" xfId="0" applyNumberFormat="1" applyFont="1" applyFill="1"/>
    <xf numFmtId="166" fontId="23" fillId="6" borderId="0" xfId="0" applyNumberFormat="1" applyFont="1" applyFill="1"/>
    <xf numFmtId="172" fontId="22" fillId="6" borderId="37" xfId="0" applyNumberFormat="1" applyFont="1" applyFill="1" applyBorder="1"/>
    <xf numFmtId="0" fontId="0" fillId="0" borderId="0" xfId="0" applyFont="1"/>
    <xf numFmtId="14" fontId="0" fillId="0" borderId="0" xfId="0" applyNumberFormat="1" applyFont="1"/>
    <xf numFmtId="166" fontId="0" fillId="8" borderId="0" xfId="0" applyNumberFormat="1" applyFont="1" applyFill="1"/>
    <xf numFmtId="166" fontId="0" fillId="6" borderId="0" xfId="0" applyNumberFormat="1" applyFont="1" applyFill="1"/>
    <xf numFmtId="164" fontId="2" fillId="6" borderId="0" xfId="1" applyFont="1" applyFill="1"/>
    <xf numFmtId="164" fontId="22" fillId="6" borderId="37" xfId="1" applyFont="1" applyFill="1" applyBorder="1"/>
    <xf numFmtId="10" fontId="22" fillId="6" borderId="37" xfId="2" applyNumberFormat="1" applyFont="1" applyFill="1" applyBorder="1"/>
    <xf numFmtId="180" fontId="0" fillId="0" borderId="7" xfId="1" applyNumberFormat="1" applyFont="1" applyBorder="1"/>
    <xf numFmtId="166" fontId="2" fillId="6" borderId="0" xfId="1" applyNumberFormat="1" applyFont="1" applyFill="1"/>
    <xf numFmtId="164" fontId="6" fillId="7" borderId="0" xfId="1" applyFont="1" applyFill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0" fillId="0" borderId="38" xfId="0" applyBorder="1"/>
    <xf numFmtId="0" fontId="4" fillId="0" borderId="39" xfId="0" applyFont="1" applyBorder="1"/>
    <xf numFmtId="165" fontId="0" fillId="8" borderId="0" xfId="0" applyNumberFormat="1" applyFill="1"/>
    <xf numFmtId="1" fontId="0" fillId="18" borderId="0" xfId="0" applyNumberFormat="1" applyFill="1"/>
    <xf numFmtId="171" fontId="0" fillId="18" borderId="0" xfId="0" applyNumberFormat="1" applyFont="1" applyFill="1"/>
    <xf numFmtId="164" fontId="0" fillId="0" borderId="0" xfId="1" applyFont="1"/>
    <xf numFmtId="175" fontId="0" fillId="0" borderId="0" xfId="1" applyNumberFormat="1" applyFont="1"/>
    <xf numFmtId="0" fontId="0" fillId="0" borderId="0" xfId="0" applyFont="1" applyFill="1" applyBorder="1"/>
    <xf numFmtId="172" fontId="22" fillId="6" borderId="0" xfId="0" applyNumberFormat="1" applyFont="1" applyFill="1" applyBorder="1"/>
    <xf numFmtId="0" fontId="6" fillId="7" borderId="0" xfId="0" applyFont="1" applyFill="1" applyAlignment="1">
      <alignment horizontal="center" wrapText="1"/>
    </xf>
    <xf numFmtId="166" fontId="0" fillId="6" borderId="0" xfId="1" applyNumberFormat="1" applyFont="1" applyFill="1"/>
    <xf numFmtId="164" fontId="0" fillId="6" borderId="0" xfId="1" applyFont="1" applyFill="1"/>
    <xf numFmtId="0" fontId="34" fillId="19" borderId="0" xfId="0" applyFont="1" applyFill="1"/>
    <xf numFmtId="0" fontId="30" fillId="0" borderId="0" xfId="0" applyFont="1" applyFill="1"/>
    <xf numFmtId="0" fontId="30" fillId="0" borderId="0" xfId="0" applyFont="1"/>
    <xf numFmtId="14" fontId="0" fillId="17" borderId="0" xfId="0" applyNumberFormat="1" applyFill="1"/>
    <xf numFmtId="14" fontId="23" fillId="0" borderId="0" xfId="0" applyNumberFormat="1" applyFont="1"/>
    <xf numFmtId="0" fontId="6" fillId="0" borderId="0" xfId="0" applyFont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6" fillId="16" borderId="0" xfId="0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0" fontId="6" fillId="7" borderId="0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6" fillId="7" borderId="0" xfId="0" applyFont="1" applyFill="1" applyAlignment="1">
      <alignment horizontal="center"/>
    </xf>
    <xf numFmtId="0" fontId="6" fillId="7" borderId="0" xfId="0" applyFont="1" applyFill="1" applyAlignment="1">
      <alignment horizontal="center" vertical="center"/>
    </xf>
    <xf numFmtId="0" fontId="6" fillId="8" borderId="0" xfId="0" applyFont="1" applyFill="1" applyAlignment="1">
      <alignment horizontal="center" vertical="center"/>
    </xf>
    <xf numFmtId="0" fontId="6" fillId="7" borderId="20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7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4"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ED0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styles" Target="styles.xml"/><Relationship Id="rId12" Type="http://schemas.openxmlformats.org/officeDocument/2006/relationships/sharedStrings" Target="sharedStrings.xml"/><Relationship Id="rId13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Evolution du capital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trendline>
            <c:spPr>
              <a:ln w="12700">
                <a:solidFill>
                  <a:srgbClr val="DD0806"/>
                </a:solidFill>
                <a:prstDash val="solid"/>
              </a:ln>
            </c:spPr>
            <c:trendlineType val="movingAvg"/>
            <c:period val="5"/>
            <c:dispRSqr val="0"/>
            <c:dispEq val="0"/>
          </c:trendline>
          <c:val>
            <c:numRef>
              <c:f>'Journal trimestre 3-2017 '!$P$5:$CG$5</c:f>
              <c:numCache>
                <c:formatCode>General</c:formatCode>
                <c:ptCount val="70"/>
                <c:pt idx="0">
                  <c:v>5000.0</c:v>
                </c:pt>
                <c:pt idx="1">
                  <c:v>5000.0</c:v>
                </c:pt>
                <c:pt idx="2">
                  <c:v>5000.0</c:v>
                </c:pt>
                <c:pt idx="3">
                  <c:v>5058.49</c:v>
                </c:pt>
                <c:pt idx="4">
                  <c:v>5058.49</c:v>
                </c:pt>
                <c:pt idx="5">
                  <c:v>5058.49</c:v>
                </c:pt>
                <c:pt idx="6">
                  <c:v>5058.49</c:v>
                </c:pt>
                <c:pt idx="7">
                  <c:v>5058.49</c:v>
                </c:pt>
                <c:pt idx="8">
                  <c:v>5058.49</c:v>
                </c:pt>
                <c:pt idx="9">
                  <c:v>5058.49</c:v>
                </c:pt>
                <c:pt idx="10">
                  <c:v>5058.49</c:v>
                </c:pt>
                <c:pt idx="11">
                  <c:v>5058.49</c:v>
                </c:pt>
                <c:pt idx="12">
                  <c:v>5058.49</c:v>
                </c:pt>
                <c:pt idx="13">
                  <c:v>5058.49</c:v>
                </c:pt>
                <c:pt idx="14">
                  <c:v>5058.49</c:v>
                </c:pt>
                <c:pt idx="15">
                  <c:v>5058.49</c:v>
                </c:pt>
                <c:pt idx="16">
                  <c:v>5058.49</c:v>
                </c:pt>
                <c:pt idx="17">
                  <c:v>5058.49</c:v>
                </c:pt>
                <c:pt idx="18">
                  <c:v>5058.49</c:v>
                </c:pt>
                <c:pt idx="19">
                  <c:v>5058.49</c:v>
                </c:pt>
                <c:pt idx="20">
                  <c:v>5058.49</c:v>
                </c:pt>
                <c:pt idx="21">
                  <c:v>5058.49</c:v>
                </c:pt>
                <c:pt idx="22">
                  <c:v>5058.49</c:v>
                </c:pt>
                <c:pt idx="23">
                  <c:v>5058.49</c:v>
                </c:pt>
                <c:pt idx="24">
                  <c:v>5058.49</c:v>
                </c:pt>
                <c:pt idx="25">
                  <c:v>5058.49</c:v>
                </c:pt>
                <c:pt idx="26">
                  <c:v>5058.49</c:v>
                </c:pt>
                <c:pt idx="27">
                  <c:v>5058.49</c:v>
                </c:pt>
                <c:pt idx="28">
                  <c:v>5058.49</c:v>
                </c:pt>
                <c:pt idx="29">
                  <c:v>5058.49</c:v>
                </c:pt>
                <c:pt idx="30">
                  <c:v>5058.49</c:v>
                </c:pt>
                <c:pt idx="31">
                  <c:v>5058.49</c:v>
                </c:pt>
                <c:pt idx="32">
                  <c:v>5058.49</c:v>
                </c:pt>
                <c:pt idx="33">
                  <c:v>5058.49</c:v>
                </c:pt>
                <c:pt idx="34">
                  <c:v>5058.49</c:v>
                </c:pt>
                <c:pt idx="35">
                  <c:v>5058.49</c:v>
                </c:pt>
                <c:pt idx="36">
                  <c:v>5058.49</c:v>
                </c:pt>
                <c:pt idx="37">
                  <c:v>5058.49</c:v>
                </c:pt>
                <c:pt idx="38">
                  <c:v>5058.49</c:v>
                </c:pt>
                <c:pt idx="39">
                  <c:v>5058.49</c:v>
                </c:pt>
                <c:pt idx="40">
                  <c:v>5058.49</c:v>
                </c:pt>
                <c:pt idx="41">
                  <c:v>5058.49</c:v>
                </c:pt>
                <c:pt idx="42">
                  <c:v>5058.49</c:v>
                </c:pt>
                <c:pt idx="43">
                  <c:v>5058.49</c:v>
                </c:pt>
                <c:pt idx="44">
                  <c:v>5058.49</c:v>
                </c:pt>
                <c:pt idx="45">
                  <c:v>5058.49</c:v>
                </c:pt>
                <c:pt idx="46">
                  <c:v>5058.49</c:v>
                </c:pt>
                <c:pt idx="47">
                  <c:v>5058.49</c:v>
                </c:pt>
                <c:pt idx="48">
                  <c:v>5058.49</c:v>
                </c:pt>
                <c:pt idx="49">
                  <c:v>5058.49</c:v>
                </c:pt>
                <c:pt idx="50">
                  <c:v>5058.49</c:v>
                </c:pt>
                <c:pt idx="51">
                  <c:v>5058.49</c:v>
                </c:pt>
                <c:pt idx="52">
                  <c:v>5058.49</c:v>
                </c:pt>
                <c:pt idx="53">
                  <c:v>5058.49</c:v>
                </c:pt>
                <c:pt idx="54">
                  <c:v>5058.49</c:v>
                </c:pt>
                <c:pt idx="55">
                  <c:v>5058.49</c:v>
                </c:pt>
                <c:pt idx="56">
                  <c:v>5058.49</c:v>
                </c:pt>
                <c:pt idx="57">
                  <c:v>5058.49</c:v>
                </c:pt>
                <c:pt idx="58">
                  <c:v>5058.49</c:v>
                </c:pt>
                <c:pt idx="59">
                  <c:v>5058.49</c:v>
                </c:pt>
                <c:pt idx="60">
                  <c:v>5058.49</c:v>
                </c:pt>
                <c:pt idx="61">
                  <c:v>5058.49</c:v>
                </c:pt>
                <c:pt idx="62">
                  <c:v>5058.49</c:v>
                </c:pt>
                <c:pt idx="63">
                  <c:v>5058.49</c:v>
                </c:pt>
                <c:pt idx="64">
                  <c:v>5058.49</c:v>
                </c:pt>
                <c:pt idx="65">
                  <c:v>5058.49</c:v>
                </c:pt>
                <c:pt idx="66">
                  <c:v>5058.49</c:v>
                </c:pt>
                <c:pt idx="67">
                  <c:v>5058.49</c:v>
                </c:pt>
                <c:pt idx="68">
                  <c:v>5058.49</c:v>
                </c:pt>
                <c:pt idx="69">
                  <c:v>5058.49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490108432"/>
        <c:axId val="-490106112"/>
      </c:lineChart>
      <c:catAx>
        <c:axId val="-490108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90106112"/>
        <c:crosses val="autoZero"/>
        <c:auto val="1"/>
        <c:lblAlgn val="ctr"/>
        <c:lblOffset val="100"/>
        <c:noMultiLvlLbl val="0"/>
      </c:catAx>
      <c:valAx>
        <c:axId val="-49010611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4901084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0" i="0" u="none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Evolution du capital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5400">
              <a:solidFill>
                <a:srgbClr val="666699"/>
              </a:solidFill>
              <a:prstDash val="solid"/>
            </a:ln>
          </c:spPr>
          <c:marker>
            <c:symbol val="none"/>
          </c:marker>
          <c:trendline>
            <c:spPr>
              <a:ln w="12700">
                <a:solidFill>
                  <a:srgbClr val="DD0806"/>
                </a:solidFill>
                <a:prstDash val="sysDash"/>
              </a:ln>
            </c:spPr>
            <c:trendlineType val="movingAvg"/>
            <c:period val="5"/>
            <c:dispRSqr val="0"/>
            <c:dispEq val="0"/>
          </c:trendline>
          <c:val>
            <c:numRef>
              <c:f>'Journal trimestre 3-2017 '!$P$5:$CG$5</c:f>
              <c:numCache>
                <c:formatCode>General</c:formatCode>
                <c:ptCount val="70"/>
                <c:pt idx="0">
                  <c:v>5000.0</c:v>
                </c:pt>
                <c:pt idx="1">
                  <c:v>5000.0</c:v>
                </c:pt>
                <c:pt idx="2">
                  <c:v>5000.0</c:v>
                </c:pt>
                <c:pt idx="3">
                  <c:v>5058.49</c:v>
                </c:pt>
                <c:pt idx="4">
                  <c:v>5058.49</c:v>
                </c:pt>
                <c:pt idx="5">
                  <c:v>5058.49</c:v>
                </c:pt>
                <c:pt idx="6">
                  <c:v>5058.49</c:v>
                </c:pt>
                <c:pt idx="7">
                  <c:v>5058.49</c:v>
                </c:pt>
                <c:pt idx="8">
                  <c:v>5058.49</c:v>
                </c:pt>
                <c:pt idx="9">
                  <c:v>5058.49</c:v>
                </c:pt>
                <c:pt idx="10">
                  <c:v>5058.49</c:v>
                </c:pt>
                <c:pt idx="11">
                  <c:v>5058.49</c:v>
                </c:pt>
                <c:pt idx="12">
                  <c:v>5058.49</c:v>
                </c:pt>
                <c:pt idx="13">
                  <c:v>5058.49</c:v>
                </c:pt>
                <c:pt idx="14">
                  <c:v>5058.49</c:v>
                </c:pt>
                <c:pt idx="15">
                  <c:v>5058.49</c:v>
                </c:pt>
                <c:pt idx="16">
                  <c:v>5058.49</c:v>
                </c:pt>
                <c:pt idx="17">
                  <c:v>5058.49</c:v>
                </c:pt>
                <c:pt idx="18">
                  <c:v>5058.49</c:v>
                </c:pt>
                <c:pt idx="19">
                  <c:v>5058.49</c:v>
                </c:pt>
                <c:pt idx="20">
                  <c:v>5058.49</c:v>
                </c:pt>
                <c:pt idx="21">
                  <c:v>5058.49</c:v>
                </c:pt>
                <c:pt idx="22">
                  <c:v>5058.49</c:v>
                </c:pt>
                <c:pt idx="23">
                  <c:v>5058.49</c:v>
                </c:pt>
                <c:pt idx="24">
                  <c:v>5058.49</c:v>
                </c:pt>
                <c:pt idx="25">
                  <c:v>5058.49</c:v>
                </c:pt>
                <c:pt idx="26">
                  <c:v>5058.49</c:v>
                </c:pt>
                <c:pt idx="27">
                  <c:v>5058.49</c:v>
                </c:pt>
                <c:pt idx="28">
                  <c:v>5058.49</c:v>
                </c:pt>
                <c:pt idx="29">
                  <c:v>5058.49</c:v>
                </c:pt>
                <c:pt idx="30">
                  <c:v>5058.49</c:v>
                </c:pt>
                <c:pt idx="31">
                  <c:v>5058.49</c:v>
                </c:pt>
                <c:pt idx="32">
                  <c:v>5058.49</c:v>
                </c:pt>
                <c:pt idx="33">
                  <c:v>5058.49</c:v>
                </c:pt>
                <c:pt idx="34">
                  <c:v>5058.49</c:v>
                </c:pt>
                <c:pt idx="35">
                  <c:v>5058.49</c:v>
                </c:pt>
                <c:pt idx="36">
                  <c:v>5058.49</c:v>
                </c:pt>
                <c:pt idx="37">
                  <c:v>5058.49</c:v>
                </c:pt>
                <c:pt idx="38">
                  <c:v>5058.49</c:v>
                </c:pt>
                <c:pt idx="39">
                  <c:v>5058.49</c:v>
                </c:pt>
                <c:pt idx="40">
                  <c:v>5058.49</c:v>
                </c:pt>
                <c:pt idx="41">
                  <c:v>5058.49</c:v>
                </c:pt>
                <c:pt idx="42">
                  <c:v>5058.49</c:v>
                </c:pt>
                <c:pt idx="43">
                  <c:v>5058.49</c:v>
                </c:pt>
                <c:pt idx="44">
                  <c:v>5058.49</c:v>
                </c:pt>
                <c:pt idx="45">
                  <c:v>5058.49</c:v>
                </c:pt>
                <c:pt idx="46">
                  <c:v>5058.49</c:v>
                </c:pt>
                <c:pt idx="47">
                  <c:v>5058.49</c:v>
                </c:pt>
                <c:pt idx="48">
                  <c:v>5058.49</c:v>
                </c:pt>
                <c:pt idx="49">
                  <c:v>5058.49</c:v>
                </c:pt>
                <c:pt idx="50">
                  <c:v>5058.49</c:v>
                </c:pt>
                <c:pt idx="51">
                  <c:v>5058.49</c:v>
                </c:pt>
                <c:pt idx="52">
                  <c:v>5058.49</c:v>
                </c:pt>
                <c:pt idx="53">
                  <c:v>5058.49</c:v>
                </c:pt>
                <c:pt idx="54">
                  <c:v>5058.49</c:v>
                </c:pt>
                <c:pt idx="55">
                  <c:v>5058.49</c:v>
                </c:pt>
                <c:pt idx="56">
                  <c:v>5058.49</c:v>
                </c:pt>
                <c:pt idx="57">
                  <c:v>5058.49</c:v>
                </c:pt>
                <c:pt idx="58">
                  <c:v>5058.49</c:v>
                </c:pt>
                <c:pt idx="59">
                  <c:v>5058.49</c:v>
                </c:pt>
                <c:pt idx="60">
                  <c:v>5058.49</c:v>
                </c:pt>
                <c:pt idx="61">
                  <c:v>5058.49</c:v>
                </c:pt>
                <c:pt idx="62">
                  <c:v>5058.49</c:v>
                </c:pt>
                <c:pt idx="63">
                  <c:v>5058.49</c:v>
                </c:pt>
                <c:pt idx="64">
                  <c:v>5058.49</c:v>
                </c:pt>
                <c:pt idx="65">
                  <c:v>5058.49</c:v>
                </c:pt>
                <c:pt idx="66">
                  <c:v>5058.49</c:v>
                </c:pt>
                <c:pt idx="67">
                  <c:v>5058.49</c:v>
                </c:pt>
                <c:pt idx="68">
                  <c:v>5058.49</c:v>
                </c:pt>
                <c:pt idx="69">
                  <c:v>5058.49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538007472"/>
        <c:axId val="-538004992"/>
      </c:lineChart>
      <c:catAx>
        <c:axId val="-538007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3175">
            <a:solidFill>
              <a:srgbClr val="C0C0C0"/>
            </a:solidFill>
            <a:prstDash val="solid"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538004992"/>
        <c:crosses val="autoZero"/>
        <c:auto val="1"/>
        <c:lblAlgn val="ctr"/>
        <c:lblOffset val="100"/>
        <c:noMultiLvlLbl val="0"/>
      </c:catAx>
      <c:valAx>
        <c:axId val="-5380049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53800747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C0C0C0"/>
      </a:solidFill>
      <a:prstDash val="solid"/>
    </a:ln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508000</xdr:colOff>
      <xdr:row>63</xdr:row>
      <xdr:rowOff>50800</xdr:rowOff>
    </xdr:from>
    <xdr:to>
      <xdr:col>15</xdr:col>
      <xdr:colOff>279400</xdr:colOff>
      <xdr:row>93</xdr:row>
      <xdr:rowOff>127000</xdr:rowOff>
    </xdr:to>
    <xdr:graphicFrame macro="">
      <xdr:nvGraphicFramePr>
        <xdr:cNvPr id="229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</xdr:row>
      <xdr:rowOff>0</xdr:rowOff>
    </xdr:from>
    <xdr:to>
      <xdr:col>18</xdr:col>
      <xdr:colOff>609600</xdr:colOff>
      <xdr:row>33</xdr:row>
      <xdr:rowOff>76200</xdr:rowOff>
    </xdr:to>
    <xdr:graphicFrame macro="">
      <xdr:nvGraphicFramePr>
        <xdr:cNvPr id="8400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4</xdr:row>
      <xdr:rowOff>50800</xdr:rowOff>
    </xdr:from>
    <xdr:to>
      <xdr:col>5</xdr:col>
      <xdr:colOff>647700</xdr:colOff>
      <xdr:row>4</xdr:row>
      <xdr:rowOff>177800</xdr:rowOff>
    </xdr:to>
    <xdr:sp macro="" textlink="">
      <xdr:nvSpPr>
        <xdr:cNvPr id="188537" name="Flèche vers la droite 1"/>
        <xdr:cNvSpPr>
          <a:spLocks noChangeArrowheads="1"/>
        </xdr:cNvSpPr>
      </xdr:nvSpPr>
      <xdr:spPr bwMode="auto">
        <a:xfrm>
          <a:off x="4432300" y="825500"/>
          <a:ext cx="495300" cy="127000"/>
        </a:xfrm>
        <a:prstGeom prst="rightArrow">
          <a:avLst>
            <a:gd name="adj1" fmla="val 50000"/>
            <a:gd name="adj2" fmla="val 59096"/>
          </a:avLst>
        </a:prstGeom>
        <a:gradFill rotWithShape="1">
          <a:gsLst>
            <a:gs pos="0">
              <a:srgbClr val="9BC1FF"/>
            </a:gs>
            <a:gs pos="100000">
              <a:srgbClr val="3F80CD"/>
            </a:gs>
          </a:gsLst>
          <a:lin ang="5400000"/>
        </a:gradFill>
        <a:ln w="9525">
          <a:solidFill>
            <a:srgbClr val="4A7EBB"/>
          </a:solidFill>
          <a:miter lim="800000"/>
          <a:headEnd/>
          <a:tailEnd/>
        </a:ln>
        <a:effectLst>
          <a:outerShdw blurRad="40000" dist="23000" dir="5400000" rotWithShape="0">
            <a:srgbClr val="000000">
              <a:alpha val="34998"/>
            </a:srgbClr>
          </a:outerShdw>
        </a:effectLst>
      </xdr:spPr>
      <xdr:txBody>
        <a:bodyPr vertOverflow="clip" wrap="square" lIns="18288" tIns="0" rIns="0" bIns="0" anchor="t" upright="1"/>
        <a:lstStyle/>
        <a:p>
          <a:pPr algn="ctr" rtl="0">
            <a:defRPr sz="1000"/>
          </a:pPr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215900</xdr:colOff>
      <xdr:row>20</xdr:row>
      <xdr:rowOff>50800</xdr:rowOff>
    </xdr:from>
    <xdr:to>
      <xdr:col>1</xdr:col>
      <xdr:colOff>939800</xdr:colOff>
      <xdr:row>20</xdr:row>
      <xdr:rowOff>190500</xdr:rowOff>
    </xdr:to>
    <xdr:sp macro="" textlink="">
      <xdr:nvSpPr>
        <xdr:cNvPr id="399374" name="Flèche vers la droite 1"/>
        <xdr:cNvSpPr>
          <a:spLocks noChangeArrowheads="1"/>
        </xdr:cNvSpPr>
      </xdr:nvSpPr>
      <xdr:spPr bwMode="auto">
        <a:xfrm>
          <a:off x="1041400" y="4102100"/>
          <a:ext cx="723900" cy="139700"/>
        </a:xfrm>
        <a:prstGeom prst="rightArrow">
          <a:avLst>
            <a:gd name="adj1" fmla="val 50000"/>
            <a:gd name="adj2" fmla="val 49995"/>
          </a:avLst>
        </a:prstGeom>
        <a:gradFill rotWithShape="1">
          <a:gsLst>
            <a:gs pos="0">
              <a:srgbClr val="9BC1FF"/>
            </a:gs>
            <a:gs pos="100000">
              <a:srgbClr val="3F80CD"/>
            </a:gs>
          </a:gsLst>
          <a:lin ang="5400000"/>
        </a:gradFill>
        <a:ln w="9525">
          <a:solidFill>
            <a:srgbClr val="4A7EBB"/>
          </a:solidFill>
          <a:miter lim="800000"/>
          <a:headEnd/>
          <a:tailEnd/>
        </a:ln>
        <a:effectLst>
          <a:outerShdw blurRad="40000" dist="23000" dir="5400000" rotWithShape="0">
            <a:srgbClr val="000000">
              <a:alpha val="34999"/>
            </a:srgbClr>
          </a:outerShdw>
        </a:effec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2</xdr:col>
      <xdr:colOff>330200</xdr:colOff>
      <xdr:row>2</xdr:row>
      <xdr:rowOff>177800</xdr:rowOff>
    </xdr:from>
    <xdr:to>
      <xdr:col>2</xdr:col>
      <xdr:colOff>1054100</xdr:colOff>
      <xdr:row>4</xdr:row>
      <xdr:rowOff>0</xdr:rowOff>
    </xdr:to>
    <xdr:sp macro="" textlink="">
      <xdr:nvSpPr>
        <xdr:cNvPr id="3" name="Flèche vers la droite 1"/>
        <xdr:cNvSpPr>
          <a:spLocks noChangeArrowheads="1"/>
        </xdr:cNvSpPr>
      </xdr:nvSpPr>
      <xdr:spPr bwMode="auto">
        <a:xfrm>
          <a:off x="2374900" y="558800"/>
          <a:ext cx="723900" cy="203200"/>
        </a:xfrm>
        <a:prstGeom prst="rightArrow">
          <a:avLst>
            <a:gd name="adj1" fmla="val 50000"/>
            <a:gd name="adj2" fmla="val 49995"/>
          </a:avLst>
        </a:prstGeom>
        <a:gradFill rotWithShape="1">
          <a:gsLst>
            <a:gs pos="0">
              <a:srgbClr val="9BC1FF"/>
            </a:gs>
            <a:gs pos="100000">
              <a:srgbClr val="3F80CD"/>
            </a:gs>
          </a:gsLst>
          <a:lin ang="5400000"/>
        </a:gradFill>
        <a:ln w="9525">
          <a:solidFill>
            <a:srgbClr val="4A7EBB"/>
          </a:solidFill>
          <a:miter lim="800000"/>
          <a:headEnd/>
          <a:tailEnd/>
        </a:ln>
        <a:effectLst>
          <a:outerShdw blurRad="40000" dist="23000" dir="5400000" rotWithShape="0">
            <a:srgbClr val="000000">
              <a:alpha val="34999"/>
            </a:srgbClr>
          </a:outerShdw>
        </a:effectLst>
      </xdr:spPr>
      <xdr:txBody>
        <a:bodyPr rtlCol="0"/>
        <a:lstStyle/>
        <a:p>
          <a:pPr algn="ctr"/>
          <a:endParaRPr lang="fr-FR"/>
        </a:p>
      </xdr:txBody>
    </xdr:sp>
    <xdr:clientData/>
  </xdr:twoCellAnchor>
  <xdr:twoCellAnchor>
    <xdr:from>
      <xdr:col>3</xdr:col>
      <xdr:colOff>596900</xdr:colOff>
      <xdr:row>12</xdr:row>
      <xdr:rowOff>12700</xdr:rowOff>
    </xdr:from>
    <xdr:to>
      <xdr:col>3</xdr:col>
      <xdr:colOff>596900</xdr:colOff>
      <xdr:row>17</xdr:row>
      <xdr:rowOff>12700</xdr:rowOff>
    </xdr:to>
    <xdr:cxnSp macro="">
      <xdr:nvCxnSpPr>
        <xdr:cNvPr id="6" name="Connecteur droit avec flèche 5"/>
        <xdr:cNvCxnSpPr/>
      </xdr:nvCxnSpPr>
      <xdr:spPr>
        <a:xfrm>
          <a:off x="4089400" y="2540000"/>
          <a:ext cx="0" cy="952500"/>
        </a:xfrm>
        <a:prstGeom prst="straightConnector1">
          <a:avLst/>
        </a:prstGeom>
        <a:ln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B050"/>
  </sheetPr>
  <dimension ref="B2:F28"/>
  <sheetViews>
    <sheetView tabSelected="1" topLeftCell="A7" workbookViewId="0">
      <selection activeCell="B28" sqref="B28"/>
    </sheetView>
  </sheetViews>
  <sheetFormatPr baseColWidth="10" defaultRowHeight="15" x14ac:dyDescent="0.2"/>
  <cols>
    <col min="2" max="2" width="18.33203125" customWidth="1"/>
    <col min="3" max="3" width="23.6640625" customWidth="1"/>
  </cols>
  <sheetData>
    <row r="2" spans="2:6" x14ac:dyDescent="0.2">
      <c r="B2" s="72" t="s">
        <v>147</v>
      </c>
      <c r="C2" s="207">
        <v>42979</v>
      </c>
    </row>
    <row r="3" spans="2:6" x14ac:dyDescent="0.2">
      <c r="E3" s="1" t="s">
        <v>178</v>
      </c>
    </row>
    <row r="4" spans="2:6" x14ac:dyDescent="0.2">
      <c r="B4" s="208" t="s">
        <v>125</v>
      </c>
      <c r="C4" s="208"/>
      <c r="E4" s="159"/>
      <c r="F4" t="s">
        <v>127</v>
      </c>
    </row>
    <row r="5" spans="2:6" x14ac:dyDescent="0.2">
      <c r="E5" s="160"/>
      <c r="F5" t="s">
        <v>179</v>
      </c>
    </row>
    <row r="6" spans="2:6" x14ac:dyDescent="0.2">
      <c r="B6" s="70" t="s">
        <v>117</v>
      </c>
      <c r="C6" t="s">
        <v>118</v>
      </c>
    </row>
    <row r="7" spans="2:6" x14ac:dyDescent="0.2">
      <c r="B7" s="156" t="s">
        <v>119</v>
      </c>
      <c r="C7" t="s">
        <v>120</v>
      </c>
    </row>
    <row r="8" spans="2:6" x14ac:dyDescent="0.2">
      <c r="B8" s="157" t="s">
        <v>121</v>
      </c>
      <c r="C8" t="s">
        <v>122</v>
      </c>
    </row>
    <row r="9" spans="2:6" x14ac:dyDescent="0.2">
      <c r="B9" s="45" t="s">
        <v>123</v>
      </c>
      <c r="C9" t="s">
        <v>124</v>
      </c>
    </row>
    <row r="12" spans="2:6" x14ac:dyDescent="0.2">
      <c r="B12" s="45" t="s">
        <v>159</v>
      </c>
      <c r="C12" t="s">
        <v>160</v>
      </c>
    </row>
    <row r="13" spans="2:6" x14ac:dyDescent="0.2">
      <c r="B13" s="45" t="s">
        <v>161</v>
      </c>
      <c r="C13" t="s">
        <v>162</v>
      </c>
    </row>
    <row r="14" spans="2:6" x14ac:dyDescent="0.2">
      <c r="B14" s="45" t="s">
        <v>163</v>
      </c>
      <c r="C14" t="s">
        <v>164</v>
      </c>
    </row>
    <row r="17" spans="2:3" x14ac:dyDescent="0.2">
      <c r="B17" s="203" t="s">
        <v>167</v>
      </c>
      <c r="C17" t="s">
        <v>168</v>
      </c>
    </row>
    <row r="19" spans="2:3" x14ac:dyDescent="0.2">
      <c r="B19" s="205" t="s">
        <v>169</v>
      </c>
      <c r="C19" t="s">
        <v>170</v>
      </c>
    </row>
    <row r="20" spans="2:3" x14ac:dyDescent="0.2">
      <c r="B20" s="204" t="s">
        <v>165</v>
      </c>
      <c r="C20" t="s">
        <v>166</v>
      </c>
    </row>
    <row r="22" spans="2:3" x14ac:dyDescent="0.2">
      <c r="B22" s="70" t="s">
        <v>171</v>
      </c>
      <c r="C22" t="s">
        <v>172</v>
      </c>
    </row>
    <row r="23" spans="2:3" x14ac:dyDescent="0.2">
      <c r="B23" s="70" t="s">
        <v>173</v>
      </c>
      <c r="C23" t="s">
        <v>174</v>
      </c>
    </row>
    <row r="25" spans="2:3" x14ac:dyDescent="0.2">
      <c r="B25" s="1" t="s">
        <v>176</v>
      </c>
    </row>
    <row r="26" spans="2:3" x14ac:dyDescent="0.2">
      <c r="B26" t="s">
        <v>177</v>
      </c>
    </row>
    <row r="27" spans="2:3" x14ac:dyDescent="0.2">
      <c r="B27" t="s">
        <v>175</v>
      </c>
    </row>
    <row r="28" spans="2:3" x14ac:dyDescent="0.2">
      <c r="B28" t="s">
        <v>180</v>
      </c>
    </row>
  </sheetData>
  <mergeCells count="1">
    <mergeCell ref="B4:C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rgb="FF0070C0"/>
  </sheetPr>
  <dimension ref="A1:CG62"/>
  <sheetViews>
    <sheetView workbookViewId="0">
      <selection activeCell="J8" sqref="J8"/>
    </sheetView>
  </sheetViews>
  <sheetFormatPr baseColWidth="10" defaultRowHeight="15" x14ac:dyDescent="0.2"/>
  <cols>
    <col min="1" max="1" width="5.33203125" customWidth="1"/>
    <col min="2" max="2" width="23.1640625" customWidth="1"/>
    <col min="4" max="4" width="8" customWidth="1"/>
    <col min="5" max="5" width="12" style="1" customWidth="1"/>
    <col min="6" max="6" width="14.33203125" customWidth="1"/>
    <col min="7" max="7" width="13.33203125" customWidth="1"/>
    <col min="8" max="8" width="14.6640625" customWidth="1"/>
    <col min="9" max="9" width="14" customWidth="1"/>
    <col min="10" max="10" width="11.83203125" bestFit="1" customWidth="1"/>
    <col min="11" max="11" width="17.33203125" bestFit="1" customWidth="1"/>
    <col min="12" max="12" width="18.83203125" customWidth="1"/>
    <col min="13" max="13" width="18.33203125" customWidth="1"/>
    <col min="14" max="14" width="17.83203125" customWidth="1"/>
  </cols>
  <sheetData>
    <row r="1" spans="1:85" ht="16" thickBot="1" x14ac:dyDescent="0.25">
      <c r="F1" s="1" t="s">
        <v>126</v>
      </c>
      <c r="G1" s="206">
        <v>42978</v>
      </c>
    </row>
    <row r="2" spans="1:85" ht="15.75" customHeight="1" thickBot="1" x14ac:dyDescent="0.25">
      <c r="B2" s="17" t="s">
        <v>12</v>
      </c>
      <c r="C2" s="26" t="s">
        <v>11</v>
      </c>
      <c r="E2" s="13"/>
      <c r="F2" s="20" t="s">
        <v>4</v>
      </c>
      <c r="G2" s="21" t="s">
        <v>5</v>
      </c>
      <c r="H2" s="21" t="s">
        <v>8</v>
      </c>
      <c r="I2" s="21" t="s">
        <v>6</v>
      </c>
      <c r="J2" s="21" t="s">
        <v>7</v>
      </c>
      <c r="K2" s="15" t="s">
        <v>20</v>
      </c>
      <c r="L2" s="15" t="s">
        <v>21</v>
      </c>
    </row>
    <row r="3" spans="1:85" ht="17" thickBot="1" x14ac:dyDescent="0.25">
      <c r="B3" s="7" t="s">
        <v>19</v>
      </c>
      <c r="C3" s="162">
        <v>5000</v>
      </c>
      <c r="E3" s="14" t="s">
        <v>2</v>
      </c>
      <c r="F3" s="59">
        <f>SUM(F6,F10,F14,F18,F22,F26,F30,F34,F38,F42,F46,F50,F54,F58)</f>
        <v>0</v>
      </c>
      <c r="G3" s="59">
        <f>SUM(G6,G10,G14,G18,G22,G26,G30,G34,G38,G42,G46,G50,G54,G58)</f>
        <v>0</v>
      </c>
      <c r="H3" s="59">
        <f>SUM(H6,H10,H14,H18,H22,H26,H30,H34,H38,H42,H46,H50,H54,H58)</f>
        <v>0</v>
      </c>
      <c r="I3" s="59">
        <f>SUM(I6,I10,I14,I18,I22,I26,I30,I34,I38,I42,I46,I50,I54,I58)</f>
        <v>1.1698</v>
      </c>
      <c r="J3" s="59">
        <f>SUM(J6,J10,J14,J18,J22,J26,J30,J34,J38,J42,J46,J50,J54,J58)</f>
        <v>0</v>
      </c>
      <c r="K3" s="60">
        <f>C5</f>
        <v>1.1697999999999957E-2</v>
      </c>
      <c r="L3" s="64">
        <v>10</v>
      </c>
    </row>
    <row r="4" spans="1:85" x14ac:dyDescent="0.2">
      <c r="B4" s="16" t="s">
        <v>18</v>
      </c>
      <c r="C4" s="38">
        <f>J61</f>
        <v>5058.49</v>
      </c>
    </row>
    <row r="5" spans="1:85" s="1" customFormat="1" x14ac:dyDescent="0.2">
      <c r="B5" s="16" t="s">
        <v>9</v>
      </c>
      <c r="C5" s="163">
        <f>((C4-C3)/C3)</f>
        <v>1.1697999999999957E-2</v>
      </c>
      <c r="E5" s="41" t="s">
        <v>3</v>
      </c>
      <c r="F5" s="42"/>
      <c r="G5" s="42"/>
      <c r="H5" s="42"/>
      <c r="I5" s="42"/>
      <c r="J5" s="42"/>
      <c r="K5" s="43"/>
      <c r="L5" s="216" t="s">
        <v>22</v>
      </c>
      <c r="M5" s="217"/>
      <c r="N5" s="218"/>
      <c r="P5" s="1">
        <f>F9</f>
        <v>5000</v>
      </c>
      <c r="Q5" s="1">
        <f>G9</f>
        <v>5000</v>
      </c>
      <c r="R5" s="1">
        <f>H9</f>
        <v>5000</v>
      </c>
      <c r="S5" s="1">
        <f>I9</f>
        <v>5058.49</v>
      </c>
      <c r="T5" s="1">
        <f>J9</f>
        <v>5058.49</v>
      </c>
      <c r="U5" s="1">
        <f>F13</f>
        <v>5058.49</v>
      </c>
      <c r="V5" s="1">
        <f>G13</f>
        <v>5058.49</v>
      </c>
      <c r="W5" s="1">
        <f>H13</f>
        <v>5058.49</v>
      </c>
      <c r="X5" s="1">
        <f>I13</f>
        <v>5058.49</v>
      </c>
      <c r="Y5" s="1">
        <f>J13</f>
        <v>5058.49</v>
      </c>
      <c r="Z5" s="1">
        <f>F17</f>
        <v>5058.49</v>
      </c>
      <c r="AA5" s="1">
        <f>G17</f>
        <v>5058.49</v>
      </c>
      <c r="AB5" s="1">
        <f>H17</f>
        <v>5058.49</v>
      </c>
      <c r="AC5" s="1">
        <f>I17</f>
        <v>5058.49</v>
      </c>
      <c r="AD5" s="1">
        <f>J17</f>
        <v>5058.49</v>
      </c>
      <c r="AE5" s="1">
        <f>F21</f>
        <v>5058.49</v>
      </c>
      <c r="AF5" s="1">
        <f>G21</f>
        <v>5058.49</v>
      </c>
      <c r="AG5" s="1">
        <f>H21</f>
        <v>5058.49</v>
      </c>
      <c r="AH5" s="1">
        <f>I21</f>
        <v>5058.49</v>
      </c>
      <c r="AI5" s="1">
        <f>J21</f>
        <v>5058.49</v>
      </c>
      <c r="AJ5" s="1">
        <f>F25</f>
        <v>5058.49</v>
      </c>
      <c r="AK5" s="1">
        <f>G25</f>
        <v>5058.49</v>
      </c>
      <c r="AL5" s="1">
        <f>H25</f>
        <v>5058.49</v>
      </c>
      <c r="AM5" s="1">
        <f>I25</f>
        <v>5058.49</v>
      </c>
      <c r="AN5" s="1">
        <f>J25</f>
        <v>5058.49</v>
      </c>
      <c r="AO5" s="1">
        <f>F29</f>
        <v>5058.49</v>
      </c>
      <c r="AP5" s="1">
        <f>G29</f>
        <v>5058.49</v>
      </c>
      <c r="AQ5" s="1">
        <f>H29</f>
        <v>5058.49</v>
      </c>
      <c r="AR5" s="1">
        <f>I29</f>
        <v>5058.49</v>
      </c>
      <c r="AS5" s="1">
        <f>J29</f>
        <v>5058.49</v>
      </c>
      <c r="AT5" s="1">
        <f>F33</f>
        <v>5058.49</v>
      </c>
      <c r="AU5" s="1">
        <f>G33</f>
        <v>5058.49</v>
      </c>
      <c r="AV5" s="1">
        <f>H33</f>
        <v>5058.49</v>
      </c>
      <c r="AW5" s="1">
        <f>I33</f>
        <v>5058.49</v>
      </c>
      <c r="AX5" s="1">
        <f>J33</f>
        <v>5058.49</v>
      </c>
      <c r="AY5" s="1">
        <f>F37</f>
        <v>5058.49</v>
      </c>
      <c r="AZ5" s="1">
        <f>G37</f>
        <v>5058.49</v>
      </c>
      <c r="BA5" s="1">
        <f>H37</f>
        <v>5058.49</v>
      </c>
      <c r="BB5" s="1">
        <f>I37</f>
        <v>5058.49</v>
      </c>
      <c r="BC5" s="1">
        <f>J37</f>
        <v>5058.49</v>
      </c>
      <c r="BD5" s="1">
        <f>F41</f>
        <v>5058.49</v>
      </c>
      <c r="BE5" s="1">
        <f>G41</f>
        <v>5058.49</v>
      </c>
      <c r="BF5" s="1">
        <f>H41</f>
        <v>5058.49</v>
      </c>
      <c r="BG5" s="1">
        <f>I41</f>
        <v>5058.49</v>
      </c>
      <c r="BH5" s="1">
        <f>J41</f>
        <v>5058.49</v>
      </c>
      <c r="BI5" s="1">
        <f>F45</f>
        <v>5058.49</v>
      </c>
      <c r="BJ5" s="1">
        <f>G45</f>
        <v>5058.49</v>
      </c>
      <c r="BK5" s="1">
        <f>H45</f>
        <v>5058.49</v>
      </c>
      <c r="BL5" s="1">
        <f>I45</f>
        <v>5058.49</v>
      </c>
      <c r="BM5" s="1">
        <f>J45</f>
        <v>5058.49</v>
      </c>
      <c r="BN5" s="1">
        <f>F49</f>
        <v>5058.49</v>
      </c>
      <c r="BO5" s="1">
        <f>G49</f>
        <v>5058.49</v>
      </c>
      <c r="BP5" s="1">
        <f>H49</f>
        <v>5058.49</v>
      </c>
      <c r="BQ5" s="1">
        <f>I49</f>
        <v>5058.49</v>
      </c>
      <c r="BR5" s="1">
        <f>J49</f>
        <v>5058.49</v>
      </c>
      <c r="BS5" s="1">
        <f>F53</f>
        <v>5058.49</v>
      </c>
      <c r="BT5" s="1">
        <f>G53</f>
        <v>5058.49</v>
      </c>
      <c r="BU5" s="1">
        <f>H53</f>
        <v>5058.49</v>
      </c>
      <c r="BV5" s="1">
        <f>I53</f>
        <v>5058.49</v>
      </c>
      <c r="BW5" s="1">
        <f>J53</f>
        <v>5058.49</v>
      </c>
      <c r="BX5" s="1">
        <f>F57</f>
        <v>5058.49</v>
      </c>
      <c r="BY5" s="1">
        <f>G57</f>
        <v>5058.49</v>
      </c>
      <c r="BZ5" s="1">
        <f>H57</f>
        <v>5058.49</v>
      </c>
      <c r="CA5" s="1">
        <f>I57</f>
        <v>5058.49</v>
      </c>
      <c r="CB5" s="1">
        <f>J57</f>
        <v>5058.49</v>
      </c>
      <c r="CC5" s="1">
        <f>F61</f>
        <v>5058.49</v>
      </c>
      <c r="CD5" s="1">
        <f>G61</f>
        <v>5058.49</v>
      </c>
      <c r="CE5" s="1">
        <f>H61</f>
        <v>5058.49</v>
      </c>
      <c r="CF5" s="1">
        <f>I61</f>
        <v>5058.49</v>
      </c>
      <c r="CG5" s="1">
        <f>J61</f>
        <v>5058.49</v>
      </c>
    </row>
    <row r="6" spans="1:85" ht="16" thickBot="1" x14ac:dyDescent="0.25">
      <c r="B6" s="23" t="s">
        <v>10</v>
      </c>
      <c r="C6" s="12">
        <f>C4-C3</f>
        <v>58.489999999999782</v>
      </c>
      <c r="D6" s="1"/>
      <c r="E6" s="158">
        <v>35</v>
      </c>
      <c r="F6" s="28">
        <f>(F8/F7)*100</f>
        <v>0</v>
      </c>
      <c r="G6" s="28">
        <f>(G8/G7)*100</f>
        <v>0</v>
      </c>
      <c r="H6" s="28">
        <f>(H8/H7)*100</f>
        <v>0</v>
      </c>
      <c r="I6" s="61">
        <f>(I8/I7)*100</f>
        <v>1.1698</v>
      </c>
      <c r="J6" s="62">
        <f>(J8/J7)*100</f>
        <v>0</v>
      </c>
      <c r="K6" s="63">
        <f>((J9-F7)/F7)*100</f>
        <v>1.1697999999999957</v>
      </c>
      <c r="L6" s="40" t="s">
        <v>23</v>
      </c>
      <c r="M6" s="40" t="s">
        <v>24</v>
      </c>
      <c r="N6" s="40" t="s">
        <v>25</v>
      </c>
    </row>
    <row r="7" spans="1:85" ht="16" thickBot="1" x14ac:dyDescent="0.25">
      <c r="E7" s="5" t="s">
        <v>0</v>
      </c>
      <c r="F7" s="37">
        <f>C3</f>
        <v>5000</v>
      </c>
      <c r="G7" s="22">
        <f>F9</f>
        <v>5000</v>
      </c>
      <c r="H7" s="22">
        <f>G9</f>
        <v>5000</v>
      </c>
      <c r="I7" s="22">
        <f>H9</f>
        <v>5000</v>
      </c>
      <c r="J7" s="8">
        <f>I9</f>
        <v>5058.49</v>
      </c>
      <c r="K7" s="2"/>
      <c r="L7" s="209"/>
      <c r="M7" s="209"/>
      <c r="N7" s="210"/>
    </row>
    <row r="8" spans="1:85" x14ac:dyDescent="0.2">
      <c r="B8" s="24" t="s">
        <v>13</v>
      </c>
      <c r="C8" s="164">
        <v>1000</v>
      </c>
      <c r="E8" s="5" t="s">
        <v>17</v>
      </c>
      <c r="F8" s="76">
        <v>0</v>
      </c>
      <c r="G8" s="77">
        <v>0</v>
      </c>
      <c r="H8" s="77">
        <v>0</v>
      </c>
      <c r="I8" s="74">
        <v>58.49</v>
      </c>
      <c r="J8" s="192"/>
      <c r="K8" s="2"/>
      <c r="L8" s="209"/>
      <c r="M8" s="209"/>
      <c r="N8" s="211"/>
    </row>
    <row r="9" spans="1:85" x14ac:dyDescent="0.2">
      <c r="B9" s="25" t="s">
        <v>14</v>
      </c>
      <c r="C9" s="165">
        <v>1500</v>
      </c>
      <c r="E9" s="6" t="s">
        <v>1</v>
      </c>
      <c r="F9" s="29">
        <f>SUM(F7:F8)</f>
        <v>5000</v>
      </c>
      <c r="G9" s="30">
        <f>SUM(G7:G8)</f>
        <v>5000</v>
      </c>
      <c r="H9" s="30">
        <f>SUM(H7:H8)</f>
        <v>5000</v>
      </c>
      <c r="I9" s="30">
        <f>SUM(I7:I8)</f>
        <v>5058.49</v>
      </c>
      <c r="J9" s="31">
        <f>SUM(J7:J8)</f>
        <v>5058.49</v>
      </c>
      <c r="K9" s="9"/>
      <c r="L9" s="209"/>
      <c r="M9" s="209"/>
      <c r="N9" s="212"/>
    </row>
    <row r="10" spans="1:85" ht="16" thickBot="1" x14ac:dyDescent="0.25">
      <c r="B10" s="19" t="s">
        <v>15</v>
      </c>
      <c r="C10" s="166">
        <v>2000</v>
      </c>
      <c r="E10" s="4">
        <f>+E6+1</f>
        <v>36</v>
      </c>
      <c r="F10" s="61">
        <f>(F12/F11)*100</f>
        <v>0</v>
      </c>
      <c r="G10" s="61">
        <f>(G12/G11)*100</f>
        <v>0</v>
      </c>
      <c r="H10" s="61">
        <f>(H12/H11)*100</f>
        <v>0</v>
      </c>
      <c r="I10" s="61">
        <f>(I12/I11)*100</f>
        <v>0</v>
      </c>
      <c r="J10" s="61">
        <f>(J12/J11)*100</f>
        <v>0</v>
      </c>
      <c r="K10" s="61">
        <f>((J13-F11)/F11)*100</f>
        <v>0</v>
      </c>
    </row>
    <row r="11" spans="1:85" x14ac:dyDescent="0.2">
      <c r="E11" s="5" t="s">
        <v>0</v>
      </c>
      <c r="F11" s="34">
        <f>J9</f>
        <v>5058.49</v>
      </c>
      <c r="G11" s="34">
        <f>F13</f>
        <v>5058.49</v>
      </c>
      <c r="H11" s="34">
        <f>G13</f>
        <v>5058.49</v>
      </c>
      <c r="I11" s="34">
        <f>H13</f>
        <v>5058.49</v>
      </c>
      <c r="J11" s="34">
        <f>I13</f>
        <v>5058.49</v>
      </c>
      <c r="K11" s="10"/>
      <c r="L11" s="209"/>
      <c r="M11" s="209"/>
      <c r="N11" s="210"/>
    </row>
    <row r="12" spans="1:85" ht="15" customHeight="1" x14ac:dyDescent="0.2">
      <c r="A12" s="214" t="s">
        <v>26</v>
      </c>
      <c r="B12" s="214"/>
      <c r="C12" s="214"/>
      <c r="E12" s="5" t="s">
        <v>17</v>
      </c>
      <c r="F12" s="75"/>
      <c r="G12" s="74"/>
      <c r="H12" s="75"/>
      <c r="I12" s="74"/>
      <c r="J12" s="74"/>
      <c r="K12" s="10"/>
      <c r="L12" s="209"/>
      <c r="M12" s="209"/>
      <c r="N12" s="211"/>
    </row>
    <row r="13" spans="1:85" x14ac:dyDescent="0.2">
      <c r="A13" s="214"/>
      <c r="B13" s="214"/>
      <c r="C13" s="214"/>
      <c r="E13" s="6" t="s">
        <v>1</v>
      </c>
      <c r="F13" s="30">
        <f>SUM(F11:F12)</f>
        <v>5058.49</v>
      </c>
      <c r="G13" s="30">
        <f>SUM(G11:G12)</f>
        <v>5058.49</v>
      </c>
      <c r="H13" s="30">
        <f>SUM(H11:H12)</f>
        <v>5058.49</v>
      </c>
      <c r="I13" s="30">
        <f>SUM(I11:I12)</f>
        <v>5058.49</v>
      </c>
      <c r="J13" s="30">
        <f>SUM(J11:J12)</f>
        <v>5058.49</v>
      </c>
      <c r="K13" s="11"/>
      <c r="L13" s="209"/>
      <c r="M13" s="209"/>
      <c r="N13" s="212"/>
    </row>
    <row r="14" spans="1:85" x14ac:dyDescent="0.2">
      <c r="A14" s="214"/>
      <c r="B14" s="214"/>
      <c r="C14" s="214"/>
      <c r="E14" s="4">
        <f>+E10+1</f>
        <v>37</v>
      </c>
      <c r="F14" s="81">
        <f>(F16/F15)*100</f>
        <v>0</v>
      </c>
      <c r="G14" s="81">
        <f>(G16/G15)*100</f>
        <v>0</v>
      </c>
      <c r="H14" s="81">
        <f>(H16/H15)*100</f>
        <v>0</v>
      </c>
      <c r="I14" s="81">
        <f>(I16/I15)*100</f>
        <v>0</v>
      </c>
      <c r="J14" s="81">
        <f>(J16/J15)*100</f>
        <v>0</v>
      </c>
      <c r="K14" s="32">
        <f>((J17-F15)/F15)*100</f>
        <v>0</v>
      </c>
    </row>
    <row r="15" spans="1:85" x14ac:dyDescent="0.2">
      <c r="A15" s="214"/>
      <c r="B15" s="214"/>
      <c r="C15" s="214"/>
      <c r="D15" s="3"/>
      <c r="E15" s="5" t="s">
        <v>0</v>
      </c>
      <c r="F15" s="34">
        <f>J13</f>
        <v>5058.49</v>
      </c>
      <c r="G15" s="34">
        <f>F17</f>
        <v>5058.49</v>
      </c>
      <c r="H15" s="34">
        <f>G17</f>
        <v>5058.49</v>
      </c>
      <c r="I15" s="34">
        <f>H17</f>
        <v>5058.49</v>
      </c>
      <c r="J15" s="34">
        <f>I17</f>
        <v>5058.49</v>
      </c>
      <c r="K15" s="10"/>
      <c r="L15" s="209"/>
      <c r="M15" s="209"/>
      <c r="N15" s="210"/>
    </row>
    <row r="16" spans="1:85" ht="15" customHeight="1" x14ac:dyDescent="0.2">
      <c r="A16" s="214"/>
      <c r="B16" s="214"/>
      <c r="C16" s="214"/>
      <c r="D16" s="3"/>
      <c r="E16" s="5" t="s">
        <v>17</v>
      </c>
      <c r="F16" s="3"/>
      <c r="G16" s="3"/>
      <c r="H16" s="3"/>
      <c r="I16" s="18"/>
      <c r="J16" s="18"/>
      <c r="K16" s="10"/>
      <c r="L16" s="209"/>
      <c r="M16" s="209"/>
      <c r="N16" s="211"/>
    </row>
    <row r="17" spans="1:20" ht="15" customHeight="1" x14ac:dyDescent="0.2">
      <c r="B17" s="44"/>
      <c r="C17" s="44"/>
      <c r="D17" s="3"/>
      <c r="E17" s="6" t="s">
        <v>1</v>
      </c>
      <c r="F17" s="30">
        <f>SUM(F15:F16)</f>
        <v>5058.49</v>
      </c>
      <c r="G17" s="30">
        <f>SUM(G15:G16)</f>
        <v>5058.49</v>
      </c>
      <c r="H17" s="30">
        <f>SUM(H15:H16)</f>
        <v>5058.49</v>
      </c>
      <c r="I17" s="30">
        <f>SUM(I15:I16)</f>
        <v>5058.49</v>
      </c>
      <c r="J17" s="30">
        <f>SUM(J15:J16)</f>
        <v>5058.49</v>
      </c>
      <c r="K17" s="11"/>
      <c r="L17" s="209"/>
      <c r="M17" s="209"/>
      <c r="N17" s="212"/>
    </row>
    <row r="18" spans="1:20" x14ac:dyDescent="0.2">
      <c r="A18" s="215" t="s">
        <v>16</v>
      </c>
      <c r="B18" s="215"/>
      <c r="C18" s="215"/>
      <c r="D18" s="3"/>
      <c r="E18" s="4">
        <f>+E14+1</f>
        <v>38</v>
      </c>
      <c r="F18" s="81">
        <f>(F20/F19)*100</f>
        <v>0</v>
      </c>
      <c r="G18" s="81">
        <f>(G20/G19)*100</f>
        <v>0</v>
      </c>
      <c r="H18" s="81">
        <f>(H20/H19)*100</f>
        <v>0</v>
      </c>
      <c r="I18" s="81">
        <f>(I20/I19)*100</f>
        <v>0</v>
      </c>
      <c r="J18" s="81">
        <f>(J20/J19)*100</f>
        <v>0</v>
      </c>
      <c r="K18" s="32">
        <f>((J21-F19)/F19)*100</f>
        <v>0</v>
      </c>
    </row>
    <row r="19" spans="1:20" x14ac:dyDescent="0.2">
      <c r="A19" s="215"/>
      <c r="B19" s="215"/>
      <c r="C19" s="215"/>
      <c r="E19" s="5" t="s">
        <v>0</v>
      </c>
      <c r="F19" s="34">
        <f>J17</f>
        <v>5058.49</v>
      </c>
      <c r="G19" s="34">
        <f>F21</f>
        <v>5058.49</v>
      </c>
      <c r="H19" s="34">
        <f>G21</f>
        <v>5058.49</v>
      </c>
      <c r="I19" s="34">
        <f>H21</f>
        <v>5058.49</v>
      </c>
      <c r="J19" s="34">
        <f>I21</f>
        <v>5058.49</v>
      </c>
      <c r="K19" s="10"/>
      <c r="L19" s="209"/>
      <c r="M19" s="209"/>
      <c r="N19" s="210"/>
      <c r="O19" s="1"/>
      <c r="P19" s="1"/>
      <c r="Q19" s="1"/>
      <c r="R19" s="1"/>
      <c r="S19" s="27"/>
      <c r="T19" s="1"/>
    </row>
    <row r="20" spans="1:20" x14ac:dyDescent="0.2">
      <c r="A20" s="215"/>
      <c r="B20" s="215"/>
      <c r="C20" s="215"/>
      <c r="E20" s="5" t="s">
        <v>17</v>
      </c>
      <c r="F20" s="3">
        <v>0</v>
      </c>
      <c r="G20" s="3">
        <v>0</v>
      </c>
      <c r="H20" s="3">
        <v>0</v>
      </c>
      <c r="I20" s="18">
        <v>0</v>
      </c>
      <c r="J20" s="18">
        <v>0</v>
      </c>
      <c r="K20" s="10"/>
      <c r="L20" s="209"/>
      <c r="M20" s="209"/>
      <c r="N20" s="211"/>
      <c r="O20" s="35"/>
      <c r="P20" s="35"/>
      <c r="Q20" s="35"/>
      <c r="R20" s="35"/>
      <c r="S20" s="35"/>
      <c r="T20" s="36"/>
    </row>
    <row r="21" spans="1:20" x14ac:dyDescent="0.2">
      <c r="A21" s="215"/>
      <c r="B21" s="215"/>
      <c r="C21" s="215"/>
      <c r="D21" s="39"/>
      <c r="E21" s="6" t="s">
        <v>1</v>
      </c>
      <c r="F21" s="30">
        <f>SUM(F19:F20)</f>
        <v>5058.49</v>
      </c>
      <c r="G21" s="30">
        <f>SUM(G19:G20)</f>
        <v>5058.49</v>
      </c>
      <c r="H21" s="30">
        <f>SUM(H19:H20)</f>
        <v>5058.49</v>
      </c>
      <c r="I21" s="30">
        <f>SUM(I19:I20)</f>
        <v>5058.49</v>
      </c>
      <c r="J21" s="30">
        <f>SUM(J19:J20)</f>
        <v>5058.49</v>
      </c>
      <c r="K21" s="11"/>
      <c r="L21" s="209"/>
      <c r="M21" s="209"/>
      <c r="N21" s="212"/>
      <c r="O21" s="34"/>
      <c r="P21" s="34"/>
      <c r="Q21" s="34"/>
      <c r="R21" s="34"/>
      <c r="S21" s="34"/>
      <c r="T21" s="3"/>
    </row>
    <row r="22" spans="1:20" x14ac:dyDescent="0.2">
      <c r="A22" s="215"/>
      <c r="B22" s="215"/>
      <c r="C22" s="215"/>
      <c r="D22" s="39"/>
      <c r="E22" s="4">
        <f>+E18+1</f>
        <v>39</v>
      </c>
      <c r="F22" s="81">
        <f>(F24/F23)*100</f>
        <v>0</v>
      </c>
      <c r="G22" s="81">
        <f>(G24/G23)*100</f>
        <v>0</v>
      </c>
      <c r="H22" s="81">
        <f>(H24/H23)*100</f>
        <v>0</v>
      </c>
      <c r="I22" s="81">
        <f>(I24/I23)*100</f>
        <v>0</v>
      </c>
      <c r="J22" s="81">
        <f>(J24/J23)*100</f>
        <v>0</v>
      </c>
      <c r="K22" s="32">
        <f>((J25-F23)/F23)*100</f>
        <v>0</v>
      </c>
      <c r="N22" s="13"/>
      <c r="O22" s="3"/>
      <c r="P22" s="3"/>
      <c r="Q22" s="3"/>
      <c r="R22" s="18"/>
      <c r="S22" s="18"/>
      <c r="T22" s="3"/>
    </row>
    <row r="23" spans="1:20" x14ac:dyDescent="0.2">
      <c r="D23" s="39"/>
      <c r="E23" s="5" t="s">
        <v>0</v>
      </c>
      <c r="F23" s="34">
        <f>J21</f>
        <v>5058.49</v>
      </c>
      <c r="G23" s="34">
        <f>F25</f>
        <v>5058.49</v>
      </c>
      <c r="H23" s="34">
        <f>G25</f>
        <v>5058.49</v>
      </c>
      <c r="I23" s="34">
        <f>H25</f>
        <v>5058.49</v>
      </c>
      <c r="J23" s="34">
        <f>I25</f>
        <v>5058.49</v>
      </c>
      <c r="K23" s="10"/>
      <c r="L23" s="209"/>
      <c r="M23" s="209"/>
      <c r="N23" s="210"/>
      <c r="O23" s="33"/>
      <c r="P23" s="33"/>
      <c r="Q23" s="33"/>
      <c r="R23" s="33"/>
      <c r="S23" s="33"/>
      <c r="T23" s="3"/>
    </row>
    <row r="24" spans="1:20" x14ac:dyDescent="0.2">
      <c r="A24" s="213" t="s">
        <v>27</v>
      </c>
      <c r="B24" s="213"/>
      <c r="C24" s="213"/>
      <c r="D24" s="39"/>
      <c r="E24" s="5" t="s">
        <v>17</v>
      </c>
      <c r="F24" s="3">
        <v>0</v>
      </c>
      <c r="G24" s="3">
        <v>0</v>
      </c>
      <c r="H24" s="3">
        <v>0</v>
      </c>
      <c r="I24" s="18">
        <v>0</v>
      </c>
      <c r="J24" s="18">
        <v>0</v>
      </c>
      <c r="K24" s="10"/>
      <c r="L24" s="209"/>
      <c r="M24" s="209"/>
      <c r="N24" s="211"/>
    </row>
    <row r="25" spans="1:20" x14ac:dyDescent="0.2">
      <c r="A25" s="213"/>
      <c r="B25" s="213"/>
      <c r="C25" s="213"/>
      <c r="E25" s="6" t="s">
        <v>1</v>
      </c>
      <c r="F25" s="30">
        <f>SUM(F23:F24)</f>
        <v>5058.49</v>
      </c>
      <c r="G25" s="30">
        <f>SUM(G23:G24)</f>
        <v>5058.49</v>
      </c>
      <c r="H25" s="30">
        <f>SUM(H23:H24)</f>
        <v>5058.49</v>
      </c>
      <c r="I25" s="30">
        <f>SUM(I23:I24)</f>
        <v>5058.49</v>
      </c>
      <c r="J25" s="30">
        <f>SUM(J23:J24)</f>
        <v>5058.49</v>
      </c>
      <c r="K25" s="11"/>
      <c r="L25" s="209"/>
      <c r="M25" s="209"/>
      <c r="N25" s="212"/>
    </row>
    <row r="26" spans="1:20" x14ac:dyDescent="0.2">
      <c r="A26" s="213"/>
      <c r="B26" s="213"/>
      <c r="C26" s="213"/>
      <c r="E26" s="4">
        <f>+E22+1</f>
        <v>40</v>
      </c>
      <c r="F26" s="81">
        <f>(F28/F27)*100</f>
        <v>0</v>
      </c>
      <c r="G26" s="81">
        <f>(G28/G27)*100</f>
        <v>0</v>
      </c>
      <c r="H26" s="81">
        <f>(H28/H27)*100</f>
        <v>0</v>
      </c>
      <c r="I26" s="81">
        <f>(I28/I27)*100</f>
        <v>0</v>
      </c>
      <c r="J26" s="81">
        <f>(J28/J27)*100</f>
        <v>0</v>
      </c>
      <c r="K26" s="32">
        <f>((J29-F27)/F27)*100</f>
        <v>0</v>
      </c>
    </row>
    <row r="27" spans="1:20" x14ac:dyDescent="0.2">
      <c r="A27" s="213"/>
      <c r="B27" s="213"/>
      <c r="C27" s="213"/>
      <c r="E27" s="5" t="s">
        <v>0</v>
      </c>
      <c r="F27" s="34">
        <f>J25</f>
        <v>5058.49</v>
      </c>
      <c r="G27" s="34">
        <f>F29</f>
        <v>5058.49</v>
      </c>
      <c r="H27" s="34">
        <f>G29</f>
        <v>5058.49</v>
      </c>
      <c r="I27" s="34">
        <f>H29</f>
        <v>5058.49</v>
      </c>
      <c r="J27" s="34">
        <f>I29</f>
        <v>5058.49</v>
      </c>
      <c r="K27" s="10"/>
      <c r="L27" s="209"/>
      <c r="M27" s="209"/>
      <c r="N27" s="210"/>
    </row>
    <row r="28" spans="1:20" x14ac:dyDescent="0.2">
      <c r="A28" s="213"/>
      <c r="B28" s="213"/>
      <c r="C28" s="213"/>
      <c r="E28" s="5" t="s">
        <v>17</v>
      </c>
      <c r="F28" s="3">
        <v>0</v>
      </c>
      <c r="G28" s="3">
        <v>0</v>
      </c>
      <c r="H28" s="3">
        <v>0</v>
      </c>
      <c r="I28" s="18">
        <v>0</v>
      </c>
      <c r="J28" s="18">
        <v>0</v>
      </c>
      <c r="K28" s="10"/>
      <c r="L28" s="209"/>
      <c r="M28" s="209"/>
      <c r="N28" s="211"/>
    </row>
    <row r="29" spans="1:20" x14ac:dyDescent="0.2">
      <c r="E29" s="6" t="s">
        <v>1</v>
      </c>
      <c r="F29" s="30">
        <f>SUM(F27:F28)</f>
        <v>5058.49</v>
      </c>
      <c r="G29" s="30">
        <f>SUM(G27:G28)</f>
        <v>5058.49</v>
      </c>
      <c r="H29" s="30">
        <f>SUM(H27:H28)</f>
        <v>5058.49</v>
      </c>
      <c r="I29" s="30">
        <f>SUM(I27:I28)</f>
        <v>5058.49</v>
      </c>
      <c r="J29" s="30">
        <f>SUM(J27:J28)</f>
        <v>5058.49</v>
      </c>
      <c r="K29" s="11"/>
      <c r="L29" s="209"/>
      <c r="M29" s="209"/>
      <c r="N29" s="212"/>
    </row>
    <row r="30" spans="1:20" x14ac:dyDescent="0.2">
      <c r="E30" s="4">
        <f>+E26+1</f>
        <v>41</v>
      </c>
      <c r="F30" s="81">
        <f>(F32/F31)*100</f>
        <v>0</v>
      </c>
      <c r="G30" s="81">
        <f>(G32/G31)*100</f>
        <v>0</v>
      </c>
      <c r="H30" s="81">
        <f>(H32/H31)*100</f>
        <v>0</v>
      </c>
      <c r="I30" s="81">
        <f>(I32/I31)*100</f>
        <v>0</v>
      </c>
      <c r="J30" s="81">
        <f>(J32/J31)*100</f>
        <v>0</v>
      </c>
      <c r="K30" s="32">
        <f>((J33-F31)/F31)*100</f>
        <v>0</v>
      </c>
    </row>
    <row r="31" spans="1:20" x14ac:dyDescent="0.2">
      <c r="E31" s="5" t="s">
        <v>0</v>
      </c>
      <c r="F31" s="34">
        <f>J29</f>
        <v>5058.49</v>
      </c>
      <c r="G31" s="34">
        <f>F33</f>
        <v>5058.49</v>
      </c>
      <c r="H31" s="34">
        <f>G33</f>
        <v>5058.49</v>
      </c>
      <c r="I31" s="34">
        <f>H33</f>
        <v>5058.49</v>
      </c>
      <c r="J31" s="34">
        <f>I33</f>
        <v>5058.49</v>
      </c>
      <c r="K31" s="10"/>
      <c r="L31" s="209"/>
      <c r="M31" s="209"/>
      <c r="N31" s="210"/>
    </row>
    <row r="32" spans="1:20" x14ac:dyDescent="0.2">
      <c r="E32" s="5" t="s">
        <v>17</v>
      </c>
      <c r="F32" s="3">
        <v>0</v>
      </c>
      <c r="G32" s="3">
        <v>0</v>
      </c>
      <c r="H32" s="3">
        <v>0</v>
      </c>
      <c r="I32" s="18">
        <v>0</v>
      </c>
      <c r="J32" s="18">
        <v>0</v>
      </c>
      <c r="K32" s="10"/>
      <c r="L32" s="209"/>
      <c r="M32" s="209"/>
      <c r="N32" s="211"/>
    </row>
    <row r="33" spans="5:14" x14ac:dyDescent="0.2">
      <c r="E33" s="6" t="s">
        <v>1</v>
      </c>
      <c r="F33" s="30">
        <f>SUM(F31:F32)</f>
        <v>5058.49</v>
      </c>
      <c r="G33" s="30">
        <f>SUM(G31:G32)</f>
        <v>5058.49</v>
      </c>
      <c r="H33" s="30">
        <f>SUM(H31:H32)</f>
        <v>5058.49</v>
      </c>
      <c r="I33" s="30">
        <f>SUM(I31:I32)</f>
        <v>5058.49</v>
      </c>
      <c r="J33" s="30">
        <f>SUM(J31:J32)</f>
        <v>5058.49</v>
      </c>
      <c r="K33" s="11"/>
      <c r="L33" s="209"/>
      <c r="M33" s="209"/>
      <c r="N33" s="212"/>
    </row>
    <row r="34" spans="5:14" x14ac:dyDescent="0.2">
      <c r="E34" s="4">
        <f>+E30+1</f>
        <v>42</v>
      </c>
      <c r="F34" s="28">
        <f>(F36/F35)*100</f>
        <v>0</v>
      </c>
      <c r="G34" s="28">
        <f>(G36/G35)*100</f>
        <v>0</v>
      </c>
      <c r="H34" s="28">
        <f>(H36/H35)*100</f>
        <v>0</v>
      </c>
      <c r="I34" s="28">
        <f>(I36/I35)*100</f>
        <v>0</v>
      </c>
      <c r="J34" s="28">
        <f>(J36/J35)*100</f>
        <v>0</v>
      </c>
      <c r="K34" s="32">
        <f>((J37-F35)/F35)*100</f>
        <v>0</v>
      </c>
    </row>
    <row r="35" spans="5:14" x14ac:dyDescent="0.2">
      <c r="E35" s="5" t="s">
        <v>0</v>
      </c>
      <c r="F35" s="34">
        <f>J33</f>
        <v>5058.49</v>
      </c>
      <c r="G35" s="34">
        <f>F37</f>
        <v>5058.49</v>
      </c>
      <c r="H35" s="34">
        <f>G37</f>
        <v>5058.49</v>
      </c>
      <c r="I35" s="34">
        <f>H37</f>
        <v>5058.49</v>
      </c>
      <c r="J35" s="34">
        <f>I37</f>
        <v>5058.49</v>
      </c>
      <c r="K35" s="10"/>
      <c r="L35" s="209"/>
      <c r="M35" s="209"/>
      <c r="N35" s="210"/>
    </row>
    <row r="36" spans="5:14" x14ac:dyDescent="0.2">
      <c r="E36" s="5" t="s">
        <v>17</v>
      </c>
      <c r="F36" s="3">
        <v>0</v>
      </c>
      <c r="G36" s="3">
        <v>0</v>
      </c>
      <c r="H36" s="3">
        <v>0</v>
      </c>
      <c r="I36" s="18">
        <v>0</v>
      </c>
      <c r="J36" s="18">
        <v>0</v>
      </c>
      <c r="K36" s="10"/>
      <c r="L36" s="209"/>
      <c r="M36" s="209"/>
      <c r="N36" s="211"/>
    </row>
    <row r="37" spans="5:14" x14ac:dyDescent="0.2">
      <c r="E37" s="6" t="s">
        <v>1</v>
      </c>
      <c r="F37" s="30">
        <f>SUM(F35:F36)</f>
        <v>5058.49</v>
      </c>
      <c r="G37" s="30">
        <f>SUM(G35:G36)</f>
        <v>5058.49</v>
      </c>
      <c r="H37" s="30">
        <f>SUM(H35:H36)</f>
        <v>5058.49</v>
      </c>
      <c r="I37" s="30">
        <f>SUM(I35:I36)</f>
        <v>5058.49</v>
      </c>
      <c r="J37" s="30">
        <f>SUM(J35:J36)</f>
        <v>5058.49</v>
      </c>
      <c r="K37" s="11"/>
      <c r="L37" s="209"/>
      <c r="M37" s="209"/>
      <c r="N37" s="212"/>
    </row>
    <row r="38" spans="5:14" x14ac:dyDescent="0.2">
      <c r="E38" s="4">
        <f>+E34+1</f>
        <v>43</v>
      </c>
      <c r="F38" s="28">
        <f>(F40/F39)*100</f>
        <v>0</v>
      </c>
      <c r="G38" s="28">
        <f>(G40/G39)*100</f>
        <v>0</v>
      </c>
      <c r="H38" s="28">
        <f>(H40/H39)*100</f>
        <v>0</v>
      </c>
      <c r="I38" s="28">
        <f>(I40/I39)*100</f>
        <v>0</v>
      </c>
      <c r="J38" s="28">
        <f>(J40/J39)*100</f>
        <v>0</v>
      </c>
      <c r="K38" s="32">
        <f>((J41-F39)/F39)*100</f>
        <v>0</v>
      </c>
    </row>
    <row r="39" spans="5:14" x14ac:dyDescent="0.2">
      <c r="E39" s="5" t="s">
        <v>0</v>
      </c>
      <c r="F39" s="34">
        <f>J37</f>
        <v>5058.49</v>
      </c>
      <c r="G39" s="34">
        <f>F41</f>
        <v>5058.49</v>
      </c>
      <c r="H39" s="34">
        <f>G41</f>
        <v>5058.49</v>
      </c>
      <c r="I39" s="34">
        <f>H41</f>
        <v>5058.49</v>
      </c>
      <c r="J39" s="34">
        <f>I41</f>
        <v>5058.49</v>
      </c>
      <c r="K39" s="10"/>
      <c r="L39" s="209"/>
      <c r="M39" s="209"/>
      <c r="N39" s="210"/>
    </row>
    <row r="40" spans="5:14" x14ac:dyDescent="0.2">
      <c r="E40" s="5" t="s">
        <v>17</v>
      </c>
      <c r="F40" s="3">
        <v>0</v>
      </c>
      <c r="G40" s="3">
        <v>0</v>
      </c>
      <c r="H40" s="3">
        <v>0</v>
      </c>
      <c r="I40" s="18">
        <v>0</v>
      </c>
      <c r="J40" s="18">
        <v>0</v>
      </c>
      <c r="K40" s="10"/>
      <c r="L40" s="209"/>
      <c r="M40" s="209"/>
      <c r="N40" s="211"/>
    </row>
    <row r="41" spans="5:14" x14ac:dyDescent="0.2">
      <c r="E41" s="6" t="s">
        <v>1</v>
      </c>
      <c r="F41" s="30">
        <f>SUM(F39:F40)</f>
        <v>5058.49</v>
      </c>
      <c r="G41" s="30">
        <f>SUM(G39:G40)</f>
        <v>5058.49</v>
      </c>
      <c r="H41" s="30">
        <f>SUM(H39:H40)</f>
        <v>5058.49</v>
      </c>
      <c r="I41" s="30">
        <f>SUM(I39:I40)</f>
        <v>5058.49</v>
      </c>
      <c r="J41" s="30">
        <f>SUM(J39:J40)</f>
        <v>5058.49</v>
      </c>
      <c r="K41" s="11"/>
      <c r="L41" s="209"/>
      <c r="M41" s="209"/>
      <c r="N41" s="212"/>
    </row>
    <row r="42" spans="5:14" x14ac:dyDescent="0.2">
      <c r="E42" s="4">
        <f>+E38+1</f>
        <v>44</v>
      </c>
      <c r="F42" s="28">
        <f>(F44/F43)*100</f>
        <v>0</v>
      </c>
      <c r="G42" s="28">
        <f>(G44/G43)*100</f>
        <v>0</v>
      </c>
      <c r="H42" s="28">
        <f>(H44/H43)*100</f>
        <v>0</v>
      </c>
      <c r="I42" s="28">
        <f>(I44/I43)*100</f>
        <v>0</v>
      </c>
      <c r="J42" s="28">
        <f>(J44/J43)*100</f>
        <v>0</v>
      </c>
      <c r="K42" s="32">
        <f>((J45-F43)/F43)*100</f>
        <v>0</v>
      </c>
    </row>
    <row r="43" spans="5:14" x14ac:dyDescent="0.2">
      <c r="E43" s="5" t="s">
        <v>0</v>
      </c>
      <c r="F43" s="34">
        <f>J41</f>
        <v>5058.49</v>
      </c>
      <c r="G43" s="34">
        <f>F45</f>
        <v>5058.49</v>
      </c>
      <c r="H43" s="34">
        <f>G45</f>
        <v>5058.49</v>
      </c>
      <c r="I43" s="34">
        <f>H45</f>
        <v>5058.49</v>
      </c>
      <c r="J43" s="34">
        <f>I45</f>
        <v>5058.49</v>
      </c>
      <c r="K43" s="10"/>
      <c r="L43" s="209"/>
      <c r="M43" s="209"/>
      <c r="N43" s="210"/>
    </row>
    <row r="44" spans="5:14" x14ac:dyDescent="0.2">
      <c r="E44" s="5" t="s">
        <v>17</v>
      </c>
      <c r="F44" s="3">
        <v>0</v>
      </c>
      <c r="G44" s="3">
        <v>0</v>
      </c>
      <c r="H44" s="3">
        <v>0</v>
      </c>
      <c r="I44" s="18">
        <v>0</v>
      </c>
      <c r="J44" s="18">
        <v>0</v>
      </c>
      <c r="K44" s="10"/>
      <c r="L44" s="209"/>
      <c r="M44" s="209"/>
      <c r="N44" s="211"/>
    </row>
    <row r="45" spans="5:14" x14ac:dyDescent="0.2">
      <c r="E45" s="6" t="s">
        <v>1</v>
      </c>
      <c r="F45" s="30">
        <f>SUM(F43:F44)</f>
        <v>5058.49</v>
      </c>
      <c r="G45" s="30">
        <f>SUM(G43:G44)</f>
        <v>5058.49</v>
      </c>
      <c r="H45" s="30">
        <f>SUM(H43:H44)</f>
        <v>5058.49</v>
      </c>
      <c r="I45" s="30">
        <f>SUM(I43:I44)</f>
        <v>5058.49</v>
      </c>
      <c r="J45" s="30">
        <f>SUM(J43:J44)</f>
        <v>5058.49</v>
      </c>
      <c r="K45" s="11"/>
      <c r="L45" s="209"/>
      <c r="M45" s="209"/>
      <c r="N45" s="212"/>
    </row>
    <row r="46" spans="5:14" x14ac:dyDescent="0.2">
      <c r="E46" s="4">
        <f>+E42+1</f>
        <v>45</v>
      </c>
      <c r="F46" s="28">
        <f>(F48/F47)*100</f>
        <v>0</v>
      </c>
      <c r="G46" s="28">
        <f>(G48/G47)*100</f>
        <v>0</v>
      </c>
      <c r="H46" s="28">
        <f>(H48/H47)*100</f>
        <v>0</v>
      </c>
      <c r="I46" s="28">
        <f>(I48/I47)*100</f>
        <v>0</v>
      </c>
      <c r="J46" s="28">
        <f>(J48/J47)*100</f>
        <v>0</v>
      </c>
      <c r="K46" s="32">
        <f>((J49-F47)/F47)*100</f>
        <v>0</v>
      </c>
    </row>
    <row r="47" spans="5:14" x14ac:dyDescent="0.2">
      <c r="E47" s="5" t="s">
        <v>0</v>
      </c>
      <c r="F47" s="34">
        <f>J45</f>
        <v>5058.49</v>
      </c>
      <c r="G47" s="34">
        <f>F49</f>
        <v>5058.49</v>
      </c>
      <c r="H47" s="34">
        <f>G49</f>
        <v>5058.49</v>
      </c>
      <c r="I47" s="34">
        <f>H49</f>
        <v>5058.49</v>
      </c>
      <c r="J47" s="34">
        <f>I49</f>
        <v>5058.49</v>
      </c>
      <c r="K47" s="10"/>
      <c r="L47" s="209"/>
      <c r="M47" s="209"/>
      <c r="N47" s="210"/>
    </row>
    <row r="48" spans="5:14" x14ac:dyDescent="0.2">
      <c r="E48" s="5" t="s">
        <v>17</v>
      </c>
      <c r="F48" s="3">
        <v>0</v>
      </c>
      <c r="G48" s="3">
        <v>0</v>
      </c>
      <c r="H48" s="3">
        <v>0</v>
      </c>
      <c r="I48" s="18">
        <v>0</v>
      </c>
      <c r="J48" s="18">
        <v>0</v>
      </c>
      <c r="K48" s="10"/>
      <c r="L48" s="209"/>
      <c r="M48" s="209"/>
      <c r="N48" s="211"/>
    </row>
    <row r="49" spans="5:14" x14ac:dyDescent="0.2">
      <c r="E49" s="6" t="s">
        <v>1</v>
      </c>
      <c r="F49" s="30">
        <f>SUM(F47:F48)</f>
        <v>5058.49</v>
      </c>
      <c r="G49" s="30">
        <f>SUM(G47:G48)</f>
        <v>5058.49</v>
      </c>
      <c r="H49" s="30">
        <f>SUM(H47:H48)</f>
        <v>5058.49</v>
      </c>
      <c r="I49" s="30">
        <f>SUM(I47:I48)</f>
        <v>5058.49</v>
      </c>
      <c r="J49" s="30">
        <f>SUM(J47:J48)</f>
        <v>5058.49</v>
      </c>
      <c r="K49" s="11"/>
      <c r="L49" s="209"/>
      <c r="M49" s="209"/>
      <c r="N49" s="212"/>
    </row>
    <row r="50" spans="5:14" x14ac:dyDescent="0.2">
      <c r="E50" s="4">
        <f>+E46+1</f>
        <v>46</v>
      </c>
      <c r="F50" s="28">
        <f>(F52/F51)*100</f>
        <v>0</v>
      </c>
      <c r="G50" s="28">
        <f>(G52/G51)*100</f>
        <v>0</v>
      </c>
      <c r="H50" s="28">
        <f>(H52/H51)*100</f>
        <v>0</v>
      </c>
      <c r="I50" s="28">
        <f>(I52/I51)*100</f>
        <v>0</v>
      </c>
      <c r="J50" s="28">
        <f>(J52/J51)*100</f>
        <v>0</v>
      </c>
      <c r="K50" s="32">
        <f>((J53-F51)/F51)*100</f>
        <v>0</v>
      </c>
    </row>
    <row r="51" spans="5:14" x14ac:dyDescent="0.2">
      <c r="E51" s="5" t="s">
        <v>0</v>
      </c>
      <c r="F51" s="34">
        <f>J49</f>
        <v>5058.49</v>
      </c>
      <c r="G51" s="34">
        <f>F53</f>
        <v>5058.49</v>
      </c>
      <c r="H51" s="34">
        <f>G53</f>
        <v>5058.49</v>
      </c>
      <c r="I51" s="34">
        <f>H53</f>
        <v>5058.49</v>
      </c>
      <c r="J51" s="34">
        <f>I53</f>
        <v>5058.49</v>
      </c>
      <c r="K51" s="10"/>
      <c r="L51" s="209"/>
      <c r="M51" s="209"/>
      <c r="N51" s="210"/>
    </row>
    <row r="52" spans="5:14" x14ac:dyDescent="0.2">
      <c r="E52" s="5" t="s">
        <v>17</v>
      </c>
      <c r="F52" s="3">
        <v>0</v>
      </c>
      <c r="G52" s="3">
        <v>0</v>
      </c>
      <c r="H52" s="3">
        <v>0</v>
      </c>
      <c r="I52" s="18">
        <v>0</v>
      </c>
      <c r="J52" s="18">
        <v>0</v>
      </c>
      <c r="K52" s="10"/>
      <c r="L52" s="209"/>
      <c r="M52" s="209"/>
      <c r="N52" s="211"/>
    </row>
    <row r="53" spans="5:14" x14ac:dyDescent="0.2">
      <c r="E53" s="6" t="s">
        <v>1</v>
      </c>
      <c r="F53" s="30">
        <f>SUM(F51:F52)</f>
        <v>5058.49</v>
      </c>
      <c r="G53" s="30">
        <f>SUM(G51:G52)</f>
        <v>5058.49</v>
      </c>
      <c r="H53" s="30">
        <f>SUM(H51:H52)</f>
        <v>5058.49</v>
      </c>
      <c r="I53" s="30">
        <f>SUM(I51:I52)</f>
        <v>5058.49</v>
      </c>
      <c r="J53" s="30">
        <f>SUM(J51:J52)</f>
        <v>5058.49</v>
      </c>
      <c r="K53" s="11"/>
      <c r="L53" s="209"/>
      <c r="M53" s="209"/>
      <c r="N53" s="212"/>
    </row>
    <row r="54" spans="5:14" x14ac:dyDescent="0.2">
      <c r="E54" s="4">
        <f>+E50+1</f>
        <v>47</v>
      </c>
      <c r="F54" s="28">
        <f>(F56/F55)*100</f>
        <v>0</v>
      </c>
      <c r="G54" s="28">
        <f>(G56/G55)*100</f>
        <v>0</v>
      </c>
      <c r="H54" s="28">
        <f>(H56/H55)*100</f>
        <v>0</v>
      </c>
      <c r="I54" s="28">
        <f>(I56/I55)*100</f>
        <v>0</v>
      </c>
      <c r="J54" s="28">
        <f>(J56/J55)*100</f>
        <v>0</v>
      </c>
      <c r="K54" s="32">
        <f>((J57-F55)/F55)*100</f>
        <v>0</v>
      </c>
    </row>
    <row r="55" spans="5:14" x14ac:dyDescent="0.2">
      <c r="E55" s="5" t="s">
        <v>0</v>
      </c>
      <c r="F55" s="34">
        <f>J53</f>
        <v>5058.49</v>
      </c>
      <c r="G55" s="34">
        <f>F57</f>
        <v>5058.49</v>
      </c>
      <c r="H55" s="34">
        <f>G57</f>
        <v>5058.49</v>
      </c>
      <c r="I55" s="34">
        <f>H57</f>
        <v>5058.49</v>
      </c>
      <c r="J55" s="34">
        <f>I57</f>
        <v>5058.49</v>
      </c>
      <c r="K55" s="10"/>
      <c r="L55" s="209"/>
      <c r="M55" s="209"/>
      <c r="N55" s="210"/>
    </row>
    <row r="56" spans="5:14" x14ac:dyDescent="0.2">
      <c r="E56" s="5" t="s">
        <v>17</v>
      </c>
      <c r="F56" s="3">
        <v>0</v>
      </c>
      <c r="G56" s="3">
        <v>0</v>
      </c>
      <c r="H56" s="3">
        <v>0</v>
      </c>
      <c r="I56" s="18">
        <v>0</v>
      </c>
      <c r="J56" s="18">
        <v>0</v>
      </c>
      <c r="K56" s="10"/>
      <c r="L56" s="209"/>
      <c r="M56" s="209"/>
      <c r="N56" s="211"/>
    </row>
    <row r="57" spans="5:14" x14ac:dyDescent="0.2">
      <c r="E57" s="6" t="s">
        <v>1</v>
      </c>
      <c r="F57" s="30">
        <f>SUM(F55:F56)</f>
        <v>5058.49</v>
      </c>
      <c r="G57" s="30">
        <f>SUM(G55:G56)</f>
        <v>5058.49</v>
      </c>
      <c r="H57" s="30">
        <f>SUM(H55:H56)</f>
        <v>5058.49</v>
      </c>
      <c r="I57" s="30">
        <f>SUM(I55:I56)</f>
        <v>5058.49</v>
      </c>
      <c r="J57" s="30">
        <f>SUM(J55:J56)</f>
        <v>5058.49</v>
      </c>
      <c r="K57" s="11"/>
      <c r="L57" s="209"/>
      <c r="M57" s="209"/>
      <c r="N57" s="212"/>
    </row>
    <row r="58" spans="5:14" x14ac:dyDescent="0.2">
      <c r="E58" s="4">
        <f>+E54+1</f>
        <v>48</v>
      </c>
      <c r="F58" s="28">
        <f>(F60/F59)*100</f>
        <v>0</v>
      </c>
      <c r="G58" s="28">
        <f>(G60/G59)*100</f>
        <v>0</v>
      </c>
      <c r="H58" s="28">
        <f>(H60/H59)*100</f>
        <v>0</v>
      </c>
      <c r="I58" s="28">
        <f>(I60/I59)*100</f>
        <v>0</v>
      </c>
      <c r="J58" s="28">
        <f>(J60/J59)*100</f>
        <v>0</v>
      </c>
      <c r="K58" s="32">
        <f>((J61-F59)/F59)*100</f>
        <v>0</v>
      </c>
    </row>
    <row r="59" spans="5:14" x14ac:dyDescent="0.2">
      <c r="E59" s="5" t="s">
        <v>0</v>
      </c>
      <c r="F59" s="34">
        <f>J57</f>
        <v>5058.49</v>
      </c>
      <c r="G59" s="34">
        <f>F61</f>
        <v>5058.49</v>
      </c>
      <c r="H59" s="34">
        <f>G61</f>
        <v>5058.49</v>
      </c>
      <c r="I59" s="34">
        <f>H61</f>
        <v>5058.49</v>
      </c>
      <c r="J59" s="34">
        <f>I61</f>
        <v>5058.49</v>
      </c>
      <c r="K59" s="10"/>
      <c r="L59" s="209"/>
      <c r="M59" s="209"/>
      <c r="N59" s="210"/>
    </row>
    <row r="60" spans="5:14" x14ac:dyDescent="0.2">
      <c r="E60" s="5" t="s">
        <v>17</v>
      </c>
      <c r="F60" s="3">
        <v>0</v>
      </c>
      <c r="G60" s="3">
        <v>0</v>
      </c>
      <c r="H60" s="3">
        <v>0</v>
      </c>
      <c r="I60" s="18">
        <v>0</v>
      </c>
      <c r="J60" s="18">
        <v>0</v>
      </c>
      <c r="K60" s="10"/>
      <c r="L60" s="209"/>
      <c r="M60" s="209"/>
      <c r="N60" s="211"/>
    </row>
    <row r="61" spans="5:14" x14ac:dyDescent="0.2">
      <c r="E61" s="6" t="s">
        <v>1</v>
      </c>
      <c r="F61" s="30">
        <f>SUM(F59:F60)</f>
        <v>5058.49</v>
      </c>
      <c r="G61" s="30">
        <f>SUM(G59:G60)</f>
        <v>5058.49</v>
      </c>
      <c r="H61" s="30">
        <f>SUM(H59:H60)</f>
        <v>5058.49</v>
      </c>
      <c r="I61" s="30">
        <f>SUM(I59:I60)</f>
        <v>5058.49</v>
      </c>
      <c r="J61" s="30">
        <f>SUM(J59:J60)</f>
        <v>5058.49</v>
      </c>
      <c r="K61" s="11"/>
      <c r="L61" s="209"/>
      <c r="M61" s="209"/>
      <c r="N61" s="212"/>
    </row>
    <row r="62" spans="5:14" x14ac:dyDescent="0.2">
      <c r="E62" s="4">
        <f>+E58+1</f>
        <v>49</v>
      </c>
    </row>
  </sheetData>
  <mergeCells count="46">
    <mergeCell ref="L5:N5"/>
    <mergeCell ref="L7:L9"/>
    <mergeCell ref="M7:M9"/>
    <mergeCell ref="N7:N9"/>
    <mergeCell ref="L11:L13"/>
    <mergeCell ref="M11:M13"/>
    <mergeCell ref="N11:N13"/>
    <mergeCell ref="L15:L17"/>
    <mergeCell ref="M15:M17"/>
    <mergeCell ref="N15:N17"/>
    <mergeCell ref="L19:L21"/>
    <mergeCell ref="M19:M21"/>
    <mergeCell ref="N19:N21"/>
    <mergeCell ref="N35:N37"/>
    <mergeCell ref="L39:L41"/>
    <mergeCell ref="M39:M41"/>
    <mergeCell ref="N39:N41"/>
    <mergeCell ref="L23:L25"/>
    <mergeCell ref="M23:M25"/>
    <mergeCell ref="N23:N25"/>
    <mergeCell ref="L27:L29"/>
    <mergeCell ref="M27:M29"/>
    <mergeCell ref="N27:N29"/>
    <mergeCell ref="A24:C28"/>
    <mergeCell ref="L59:L61"/>
    <mergeCell ref="M59:M61"/>
    <mergeCell ref="N59:N61"/>
    <mergeCell ref="A12:C16"/>
    <mergeCell ref="A18:C22"/>
    <mergeCell ref="L51:L53"/>
    <mergeCell ref="M51:M53"/>
    <mergeCell ref="N51:N53"/>
    <mergeCell ref="L55:L57"/>
    <mergeCell ref="L31:L33"/>
    <mergeCell ref="M31:M33"/>
    <mergeCell ref="N31:N33"/>
    <mergeCell ref="N47:N49"/>
    <mergeCell ref="L35:L37"/>
    <mergeCell ref="M35:M37"/>
    <mergeCell ref="M55:M57"/>
    <mergeCell ref="N55:N57"/>
    <mergeCell ref="L43:L45"/>
    <mergeCell ref="M43:M45"/>
    <mergeCell ref="N43:N45"/>
    <mergeCell ref="L47:L49"/>
    <mergeCell ref="M47:M49"/>
  </mergeCells>
  <conditionalFormatting sqref="I8">
    <cfRule type="expression" dxfId="3" priority="3">
      <formula>I8&lt;0</formula>
    </cfRule>
    <cfRule type="expression" dxfId="2" priority="4">
      <formula>I8&gt;0</formula>
    </cfRule>
  </conditionalFormatting>
  <conditionalFormatting sqref="J8">
    <cfRule type="expression" dxfId="1" priority="1">
      <formula>J8&lt;0</formula>
    </cfRule>
    <cfRule type="expression" dxfId="0" priority="2">
      <formula>J8&gt;0</formula>
    </cfRule>
  </conditionalFormatting>
  <pageMargins left="0.7" right="0.7" top="0.75" bottom="0.75" header="0.3" footer="0.3"/>
  <pageSetup paperSize="9" orientation="portrait" horizontalDpi="429496729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70C0"/>
  </sheetPr>
  <dimension ref="D2"/>
  <sheetViews>
    <sheetView topLeftCell="A9" workbookViewId="0">
      <selection activeCell="C17" sqref="C17"/>
    </sheetView>
  </sheetViews>
  <sheetFormatPr baseColWidth="10" defaultRowHeight="15" x14ac:dyDescent="0.2"/>
  <sheetData>
    <row r="2" spans="4:4" x14ac:dyDescent="0.2">
      <c r="D2" s="45" t="s">
        <v>28</v>
      </c>
    </row>
  </sheetData>
  <pageMargins left="0.7" right="0.7" top="0.75" bottom="0.75" header="0.3" footer="0.3"/>
  <pageSetup paperSize="9" orientation="portrait" horizontalDpi="4294967293" verticalDpi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C000"/>
  </sheetPr>
  <dimension ref="A2:O21"/>
  <sheetViews>
    <sheetView workbookViewId="0">
      <selection activeCell="N14" sqref="N14"/>
    </sheetView>
  </sheetViews>
  <sheetFormatPr baseColWidth="10" defaultRowHeight="15" x14ac:dyDescent="0.2"/>
  <cols>
    <col min="3" max="3" width="12.83203125" bestFit="1" customWidth="1"/>
    <col min="8" max="9" width="11.1640625" bestFit="1" customWidth="1"/>
    <col min="10" max="10" width="15.33203125" bestFit="1" customWidth="1"/>
    <col min="11" max="13" width="10.6640625" customWidth="1"/>
    <col min="14" max="14" width="57.1640625" customWidth="1"/>
  </cols>
  <sheetData>
    <row r="2" spans="1:15" x14ac:dyDescent="0.2">
      <c r="B2" s="72" t="s">
        <v>57</v>
      </c>
      <c r="C2" s="72" t="s">
        <v>58</v>
      </c>
    </row>
    <row r="3" spans="1:15" x14ac:dyDescent="0.2">
      <c r="H3" s="219" t="s">
        <v>59</v>
      </c>
      <c r="I3" s="219"/>
      <c r="J3" s="219"/>
      <c r="K3" s="190" t="s">
        <v>150</v>
      </c>
      <c r="L3" s="189">
        <f>+L5/H5</f>
        <v>0.4179794245298184</v>
      </c>
      <c r="M3" s="189" t="s">
        <v>156</v>
      </c>
    </row>
    <row r="4" spans="1:15" ht="31" thickBot="1" x14ac:dyDescent="0.25">
      <c r="B4" s="71" t="s">
        <v>55</v>
      </c>
      <c r="C4" s="69" t="s">
        <v>29</v>
      </c>
      <c r="D4" s="69" t="s">
        <v>30</v>
      </c>
      <c r="E4" s="69" t="s">
        <v>50</v>
      </c>
      <c r="F4" s="69" t="s">
        <v>51</v>
      </c>
      <c r="G4" s="175" t="s">
        <v>146</v>
      </c>
      <c r="H4" s="69" t="s">
        <v>52</v>
      </c>
      <c r="I4" s="69" t="s">
        <v>54</v>
      </c>
      <c r="J4" s="69" t="s">
        <v>31</v>
      </c>
      <c r="K4" s="175" t="s">
        <v>137</v>
      </c>
      <c r="L4" s="176" t="s">
        <v>149</v>
      </c>
      <c r="M4" s="200" t="s">
        <v>155</v>
      </c>
      <c r="N4" s="220" t="s">
        <v>61</v>
      </c>
      <c r="O4" s="69"/>
    </row>
    <row r="5" spans="1:15" ht="18" thickTop="1" thickBot="1" x14ac:dyDescent="0.25">
      <c r="E5" s="70" t="s">
        <v>60</v>
      </c>
      <c r="G5" s="186">
        <f>+I5/Capital_actuel</f>
        <v>1.630921480520867E-2</v>
      </c>
      <c r="H5" s="179">
        <f>SUM(H6:H74)+H77</f>
        <v>248.83999999999997</v>
      </c>
      <c r="I5" s="179">
        <f>SUM(I6:I74)+I77</f>
        <v>82.5</v>
      </c>
      <c r="J5" s="179">
        <f>SUM(J6:J74)+J77</f>
        <v>6380</v>
      </c>
      <c r="K5" s="185">
        <f t="shared" ref="K5:K12" si="0">+J5/Capital_actuel</f>
        <v>1.2612459449361371</v>
      </c>
      <c r="L5" s="179">
        <f>SUM(L6:L74)+L77</f>
        <v>104.01</v>
      </c>
      <c r="M5" s="199"/>
      <c r="N5" s="220"/>
    </row>
    <row r="6" spans="1:15" ht="16" thickTop="1" x14ac:dyDescent="0.2">
      <c r="A6" s="167"/>
      <c r="B6" s="180" t="s">
        <v>56</v>
      </c>
      <c r="C6" s="181">
        <v>42978</v>
      </c>
      <c r="D6" s="180" t="s">
        <v>62</v>
      </c>
      <c r="E6" s="180" t="s">
        <v>35</v>
      </c>
      <c r="F6" s="180" t="s">
        <v>144</v>
      </c>
      <c r="G6" s="180">
        <v>0</v>
      </c>
      <c r="H6" s="182">
        <v>48.1</v>
      </c>
      <c r="I6" s="183">
        <f>IF(G6=0,0,IF(ABS(H6)&gt;J6*VLOOKUP(D6,Liste_Instrument,13,FALSE),H6,J6*VLOOKUP(D6,Liste_Instrument,13,FALSE)))</f>
        <v>0</v>
      </c>
      <c r="J6" s="183">
        <f>G6*VLOOKUP(+D6,Liste_Instrument,7,FALSE)</f>
        <v>0</v>
      </c>
      <c r="K6" s="184">
        <f t="shared" si="0"/>
        <v>0</v>
      </c>
      <c r="L6" s="188">
        <v>21</v>
      </c>
      <c r="M6" s="201" t="s">
        <v>157</v>
      </c>
      <c r="N6" t="s">
        <v>145</v>
      </c>
    </row>
    <row r="7" spans="1:15" x14ac:dyDescent="0.2">
      <c r="B7" s="180" t="s">
        <v>56</v>
      </c>
      <c r="C7" s="181">
        <v>42978</v>
      </c>
      <c r="D7" s="180" t="s">
        <v>33</v>
      </c>
      <c r="E7" s="180" t="s">
        <v>35</v>
      </c>
      <c r="F7" s="180" t="s">
        <v>144</v>
      </c>
      <c r="G7" s="180">
        <v>0</v>
      </c>
      <c r="H7" s="182">
        <v>50</v>
      </c>
      <c r="I7" s="183">
        <f>IF(G7=0,0,IF(ABS(H7)&gt;J7*VLOOKUP(D7,Liste_Instrument,13,FALSE),H7,J7*VLOOKUP(D7,Liste_Instrument,13,FALSE)))</f>
        <v>0</v>
      </c>
      <c r="J7" s="183">
        <f>G7*VLOOKUP(+D7,Liste_Instrument,7,FALSE)</f>
        <v>0</v>
      </c>
      <c r="K7" s="184">
        <f t="shared" si="0"/>
        <v>0</v>
      </c>
      <c r="L7" s="188">
        <v>37.49</v>
      </c>
      <c r="M7" s="201" t="s">
        <v>157</v>
      </c>
      <c r="N7" t="s">
        <v>151</v>
      </c>
    </row>
    <row r="8" spans="1:15" x14ac:dyDescent="0.2">
      <c r="B8" s="180" t="s">
        <v>56</v>
      </c>
      <c r="C8" s="181">
        <v>42979</v>
      </c>
      <c r="D8" s="180" t="s">
        <v>75</v>
      </c>
      <c r="E8" s="180" t="s">
        <v>148</v>
      </c>
      <c r="F8" s="180" t="s">
        <v>153</v>
      </c>
      <c r="G8" s="180">
        <v>0</v>
      </c>
      <c r="H8" s="177">
        <v>68.239999999999995</v>
      </c>
      <c r="I8" s="183">
        <f>IF(G8=0,0,IF(ABS(H8)&gt;J8*VLOOKUP(D8,Liste_Instrument,13,FALSE),H8,J8*VLOOKUP(D8,Liste_Instrument,13,FALSE)))</f>
        <v>0</v>
      </c>
      <c r="J8" s="183">
        <f>IFERROR(G8*VLOOKUP(+D8,Liste_Instrument,7,FALSE),0)</f>
        <v>0</v>
      </c>
      <c r="K8" s="184">
        <f t="shared" si="0"/>
        <v>0</v>
      </c>
      <c r="L8" s="188">
        <v>45.52</v>
      </c>
      <c r="M8" s="202" t="s">
        <v>157</v>
      </c>
      <c r="N8" t="s">
        <v>154</v>
      </c>
    </row>
    <row r="9" spans="1:15" x14ac:dyDescent="0.2">
      <c r="B9" s="180" t="s">
        <v>56</v>
      </c>
      <c r="C9" s="181">
        <v>42979</v>
      </c>
      <c r="D9" s="180" t="s">
        <v>62</v>
      </c>
      <c r="E9" s="180" t="s">
        <v>35</v>
      </c>
      <c r="F9" s="180" t="s">
        <v>153</v>
      </c>
      <c r="G9" s="198">
        <v>1</v>
      </c>
      <c r="H9" s="177">
        <v>82.5</v>
      </c>
      <c r="I9" s="183">
        <f>IFERROR(IF(ABS(H9)&gt;J9*VLOOKUP(D9,Liste_Instrument,13,FALSE),H9,J9*VLOOKUP(D9,Liste_Instrument,13,FALSE)),0)</f>
        <v>82.5</v>
      </c>
      <c r="J9" s="183">
        <f>IFERROR(G9*VLOOKUP(+D9,Liste_Instrument,7,FALSE),0)</f>
        <v>6380</v>
      </c>
      <c r="K9" s="184">
        <f t="shared" si="0"/>
        <v>1.2612459449361371</v>
      </c>
      <c r="L9" s="184"/>
      <c r="M9" s="184"/>
      <c r="N9" t="s">
        <v>158</v>
      </c>
    </row>
    <row r="10" spans="1:15" x14ac:dyDescent="0.2">
      <c r="B10" s="180"/>
      <c r="C10" s="180"/>
      <c r="D10" s="180"/>
      <c r="E10" s="180"/>
      <c r="F10" s="180"/>
      <c r="G10" s="180"/>
      <c r="H10" s="177"/>
      <c r="I10" s="183">
        <f>IFERROR(IF(ABS(H10)&gt;J10*VLOOKUP(D10,Liste_Instrument,13,FALSE),H10,J10*VLOOKUP(D10,Liste_Instrument,13,FALSE)),0)</f>
        <v>0</v>
      </c>
      <c r="J10" s="183">
        <f>IFERROR(G10*VLOOKUP(+D10,Liste_Instrument,7,FALSE),0)</f>
        <v>0</v>
      </c>
      <c r="K10" s="184">
        <f t="shared" si="0"/>
        <v>0</v>
      </c>
      <c r="L10" s="184"/>
      <c r="M10" s="184"/>
    </row>
    <row r="11" spans="1:15" x14ac:dyDescent="0.2">
      <c r="B11" s="180"/>
      <c r="C11" s="180"/>
      <c r="D11" s="180"/>
      <c r="E11" s="180"/>
      <c r="F11" s="180"/>
      <c r="G11" s="180"/>
      <c r="H11" s="177"/>
      <c r="I11" s="183">
        <f>IFERROR(IF(ABS(H11)&gt;J11*VLOOKUP(D11,Liste_Instrument,13,FALSE),H11,J11*VLOOKUP(D11,Liste_Instrument,13,FALSE)),0)</f>
        <v>0</v>
      </c>
      <c r="J11" s="183">
        <f>IFERROR(G11*VLOOKUP(+D11,Liste_Instrument,7,FALSE),0)</f>
        <v>0</v>
      </c>
      <c r="K11" s="184">
        <f t="shared" si="0"/>
        <v>0</v>
      </c>
      <c r="L11" s="184"/>
      <c r="M11" s="184"/>
    </row>
    <row r="12" spans="1:15" x14ac:dyDescent="0.2">
      <c r="B12" s="180"/>
      <c r="C12" s="180"/>
      <c r="D12" s="180"/>
      <c r="E12" s="180"/>
      <c r="F12" s="180"/>
      <c r="G12" s="180"/>
      <c r="H12" s="177"/>
      <c r="I12" s="183">
        <f>IFERROR(IF(ABS(H12)&gt;J12*VLOOKUP(D12,Liste_Instrument,13,FALSE),H12,J12*VLOOKUP(D12,Liste_Instrument,13,FALSE)),0)</f>
        <v>0</v>
      </c>
      <c r="J12" s="183">
        <f>IFERROR(G12*VLOOKUP(+D12,Liste_Instrument,7,FALSE),0)</f>
        <v>0</v>
      </c>
      <c r="K12" s="184">
        <f t="shared" si="0"/>
        <v>0</v>
      </c>
      <c r="L12" s="184"/>
      <c r="M12" s="184"/>
    </row>
    <row r="13" spans="1:15" x14ac:dyDescent="0.2">
      <c r="B13" s="180"/>
      <c r="C13" s="180"/>
      <c r="D13" s="180"/>
      <c r="E13" s="180"/>
      <c r="F13" s="180"/>
      <c r="G13" s="180"/>
      <c r="H13" s="177"/>
      <c r="I13" s="178"/>
      <c r="J13" s="160"/>
      <c r="K13" s="160"/>
      <c r="L13" s="160"/>
      <c r="M13" s="160"/>
    </row>
    <row r="14" spans="1:15" x14ac:dyDescent="0.2">
      <c r="B14" s="180"/>
      <c r="C14" s="180"/>
      <c r="D14" s="180"/>
      <c r="E14" s="180"/>
      <c r="F14" s="180"/>
      <c r="G14" s="180"/>
      <c r="H14" s="177"/>
      <c r="I14" s="178"/>
      <c r="J14" s="160"/>
      <c r="K14" s="160"/>
      <c r="L14" s="160"/>
      <c r="M14" s="160"/>
    </row>
    <row r="15" spans="1:15" x14ac:dyDescent="0.2">
      <c r="B15" s="180"/>
      <c r="C15" s="180"/>
      <c r="D15" s="180"/>
      <c r="E15" s="180"/>
      <c r="F15" s="180"/>
      <c r="G15" s="180"/>
      <c r="H15" s="177"/>
      <c r="I15" s="178"/>
      <c r="J15" s="160"/>
      <c r="K15" s="160"/>
      <c r="L15" s="160"/>
      <c r="M15" s="160"/>
    </row>
    <row r="16" spans="1:15" x14ac:dyDescent="0.2">
      <c r="B16" s="180"/>
      <c r="C16" s="180"/>
      <c r="D16" s="180"/>
      <c r="E16" s="180"/>
      <c r="F16" s="180"/>
      <c r="G16" s="180"/>
      <c r="H16" s="177"/>
      <c r="I16" s="178"/>
      <c r="J16" s="160"/>
      <c r="K16" s="160"/>
      <c r="L16" s="160"/>
      <c r="M16" s="160"/>
    </row>
    <row r="17" spans="2:14" x14ac:dyDescent="0.2">
      <c r="B17" s="180"/>
      <c r="C17" s="180"/>
      <c r="D17" s="180"/>
      <c r="E17" s="180"/>
      <c r="F17" s="180"/>
      <c r="G17" s="180"/>
      <c r="H17" s="177"/>
      <c r="I17" s="178"/>
      <c r="J17" s="160"/>
      <c r="K17" s="160"/>
      <c r="L17" s="160"/>
      <c r="M17" s="160"/>
    </row>
    <row r="18" spans="2:14" x14ac:dyDescent="0.2">
      <c r="B18" s="180"/>
      <c r="C18" s="180"/>
      <c r="D18" s="180"/>
      <c r="E18" s="180"/>
      <c r="F18" s="180"/>
      <c r="G18" s="180"/>
      <c r="H18" s="177"/>
      <c r="I18" s="178"/>
      <c r="J18" s="160"/>
      <c r="K18" s="160"/>
      <c r="L18" s="160"/>
      <c r="M18" s="160"/>
      <c r="N18" s="191"/>
    </row>
    <row r="19" spans="2:14" x14ac:dyDescent="0.2">
      <c r="B19" s="180"/>
      <c r="C19" s="180"/>
      <c r="D19" s="180"/>
      <c r="E19" s="180"/>
      <c r="F19" s="180"/>
      <c r="G19" s="180"/>
      <c r="H19" s="177"/>
      <c r="I19" s="178"/>
      <c r="J19" s="160"/>
      <c r="K19" s="160"/>
      <c r="L19" s="160"/>
      <c r="M19" s="160"/>
    </row>
    <row r="20" spans="2:14" x14ac:dyDescent="0.2">
      <c r="B20" s="180"/>
      <c r="C20" s="180"/>
      <c r="D20" s="180"/>
      <c r="E20" s="180"/>
      <c r="F20" s="180"/>
      <c r="G20" s="180"/>
      <c r="H20" s="177"/>
      <c r="I20" s="178"/>
      <c r="J20" s="160"/>
      <c r="K20" s="160"/>
      <c r="L20" s="160"/>
      <c r="M20" s="160"/>
    </row>
    <row r="21" spans="2:14" x14ac:dyDescent="0.2">
      <c r="B21" s="180"/>
      <c r="C21" s="180"/>
      <c r="D21" s="180"/>
      <c r="E21" s="180"/>
      <c r="F21" s="180"/>
      <c r="G21" s="180"/>
    </row>
  </sheetData>
  <mergeCells count="2">
    <mergeCell ref="H3:J3"/>
    <mergeCell ref="N4:N5"/>
  </mergeCells>
  <dataValidations count="1">
    <dataValidation type="list" allowBlank="1" showInputMessage="1" showErrorMessage="1" sqref="D6">
      <formula1>Code_Instrument</formula1>
    </dataValidation>
  </dataValidations>
  <pageMargins left="0.7" right="0.7" top="0.75" bottom="0.75" header="0.3" footer="0.3"/>
  <ignoredErrors>
    <ignoredError sqref="K5" formula="1"/>
  </ignoredErrors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696A973D-0236-0F4A-8BFF-9D109A9A97BA}">
            <x14:iconSet custom="1">
              <x14:cfvo type="percent">
                <xm:f>0</xm:f>
              </x14:cfvo>
              <x14:cfvo type="num">
                <xm:f>1.5</xm:f>
              </x14:cfvo>
              <x14:cfvo type="num">
                <xm:f>2.5</xm:f>
              </x14:cfvo>
              <x14:cfIcon iconSet="3TrafficLights1" iconId="0"/>
              <x14:cfIcon iconSet="3TrafficLights1" iconId="1"/>
              <x14:cfIcon iconSet="3TrafficLights1" iconId="2"/>
            </x14:iconSet>
          </x14:cfRule>
          <xm:sqref>L3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C000"/>
  </sheetPr>
  <dimension ref="C1:T111"/>
  <sheetViews>
    <sheetView workbookViewId="0">
      <selection activeCell="I5" sqref="I5"/>
    </sheetView>
  </sheetViews>
  <sheetFormatPr baseColWidth="10" defaultRowHeight="15" x14ac:dyDescent="0.2"/>
  <cols>
    <col min="4" max="4" width="16" customWidth="1"/>
    <col min="6" max="6" width="12.33203125" customWidth="1"/>
    <col min="7" max="7" width="12.1640625" style="47" customWidth="1"/>
    <col min="11" max="11" width="14.33203125" customWidth="1"/>
    <col min="14" max="14" width="13.33203125" customWidth="1"/>
    <col min="15" max="15" width="16.6640625" customWidth="1"/>
    <col min="16" max="16" width="13.1640625" customWidth="1"/>
    <col min="17" max="17" width="12" customWidth="1"/>
    <col min="18" max="18" width="9.83203125" customWidth="1"/>
    <col min="19" max="19" width="8.6640625" customWidth="1"/>
    <col min="20" max="20" width="13.33203125" customWidth="1"/>
  </cols>
  <sheetData>
    <row r="1" spans="3:20" ht="16" x14ac:dyDescent="0.2">
      <c r="C1" s="221" t="s">
        <v>41</v>
      </c>
      <c r="D1" s="57" t="s">
        <v>17</v>
      </c>
      <c r="E1" s="48" t="s">
        <v>37</v>
      </c>
      <c r="F1" s="49" t="s">
        <v>38</v>
      </c>
      <c r="G1" s="54" t="s">
        <v>39</v>
      </c>
      <c r="H1" s="48" t="s">
        <v>42</v>
      </c>
      <c r="I1" s="49" t="s">
        <v>43</v>
      </c>
      <c r="J1" s="50" t="s">
        <v>40</v>
      </c>
    </row>
    <row r="2" spans="3:20" ht="16" x14ac:dyDescent="0.2">
      <c r="C2" s="221"/>
      <c r="D2" s="58">
        <f>+SUM(G5:G500)</f>
        <v>107.49000000000001</v>
      </c>
      <c r="E2" s="55">
        <f>SUMIF(G5:G500,"&gt;0")</f>
        <v>107.49000000000001</v>
      </c>
      <c r="F2" s="56">
        <f>SUMIF(G5:G500,"&lt;0")</f>
        <v>0</v>
      </c>
      <c r="G2" s="187">
        <f>IFERROR(+E2/F2,0)</f>
        <v>0</v>
      </c>
      <c r="H2" s="51">
        <f>COUNTIF(G5:G500,"&gt;0")</f>
        <v>4</v>
      </c>
      <c r="I2" s="52">
        <f>COUNTIF(G5:G500,"&lt;0")</f>
        <v>0</v>
      </c>
      <c r="J2" s="53">
        <f>IFERROR(+H2/I2,0)</f>
        <v>0</v>
      </c>
    </row>
    <row r="4" spans="3:20" x14ac:dyDescent="0.2">
      <c r="C4" s="65" t="s">
        <v>3</v>
      </c>
      <c r="D4" s="65" t="s">
        <v>29</v>
      </c>
      <c r="E4" s="65" t="s">
        <v>30</v>
      </c>
      <c r="F4" s="65" t="s">
        <v>31</v>
      </c>
      <c r="G4" s="66" t="s">
        <v>17</v>
      </c>
      <c r="H4" s="65" t="s">
        <v>32</v>
      </c>
      <c r="I4" s="65" t="s">
        <v>181</v>
      </c>
    </row>
    <row r="5" spans="3:20" x14ac:dyDescent="0.2">
      <c r="C5">
        <v>35</v>
      </c>
      <c r="D5" s="46">
        <v>42977</v>
      </c>
      <c r="E5" t="s">
        <v>75</v>
      </c>
      <c r="F5" t="s">
        <v>148</v>
      </c>
      <c r="G5" s="47">
        <v>3.48</v>
      </c>
      <c r="H5" t="s">
        <v>48</v>
      </c>
      <c r="J5" s="67" t="s">
        <v>49</v>
      </c>
      <c r="K5" s="68">
        <f>SUM(K6:K10)-D2</f>
        <v>0</v>
      </c>
    </row>
    <row r="6" spans="3:20" x14ac:dyDescent="0.2">
      <c r="C6">
        <v>35</v>
      </c>
      <c r="D6" s="46">
        <v>42978</v>
      </c>
      <c r="E6" t="s">
        <v>62</v>
      </c>
      <c r="F6" t="s">
        <v>35</v>
      </c>
      <c r="G6" s="47">
        <v>21</v>
      </c>
      <c r="H6" t="s">
        <v>48</v>
      </c>
      <c r="J6" t="s">
        <v>34</v>
      </c>
      <c r="K6" s="47">
        <f>SUMIF(H$5:H109,J6,G$5:G109)</f>
        <v>0</v>
      </c>
    </row>
    <row r="7" spans="3:20" x14ac:dyDescent="0.2">
      <c r="C7">
        <v>35</v>
      </c>
      <c r="D7" s="46">
        <v>42978</v>
      </c>
      <c r="E7" t="s">
        <v>33</v>
      </c>
      <c r="F7" t="s">
        <v>35</v>
      </c>
      <c r="G7" s="47">
        <v>37.49</v>
      </c>
      <c r="H7" t="s">
        <v>48</v>
      </c>
      <c r="J7" t="s">
        <v>44</v>
      </c>
      <c r="K7" s="47">
        <f>SUMIF(H$5:H110,J7,G$5:G110)</f>
        <v>0</v>
      </c>
    </row>
    <row r="8" spans="3:20" x14ac:dyDescent="0.2">
      <c r="C8">
        <v>35</v>
      </c>
      <c r="D8" s="46">
        <v>371697</v>
      </c>
      <c r="E8" t="s">
        <v>75</v>
      </c>
      <c r="F8" t="s">
        <v>148</v>
      </c>
      <c r="G8" s="47">
        <v>45.52</v>
      </c>
      <c r="H8" t="s">
        <v>48</v>
      </c>
      <c r="J8" t="s">
        <v>45</v>
      </c>
      <c r="K8" s="47">
        <f>SUMIF(H$5:H111,J8,G$5:G111)</f>
        <v>0</v>
      </c>
      <c r="O8" s="106"/>
    </row>
    <row r="9" spans="3:20" x14ac:dyDescent="0.2">
      <c r="D9" s="46"/>
      <c r="J9" t="s">
        <v>47</v>
      </c>
      <c r="K9" s="47">
        <f>SUMIF(H$5:H112,J9,G$5:G112)</f>
        <v>0</v>
      </c>
      <c r="O9" s="73"/>
      <c r="P9" s="73"/>
      <c r="Q9" s="73"/>
      <c r="R9" s="73"/>
      <c r="S9" s="73"/>
      <c r="T9" s="79"/>
    </row>
    <row r="10" spans="3:20" x14ac:dyDescent="0.2">
      <c r="D10" s="46"/>
      <c r="J10" t="s">
        <v>48</v>
      </c>
      <c r="K10" s="47">
        <f>SUMIF(H$5:H113,J10,G$5:G113)</f>
        <v>107.49000000000001</v>
      </c>
      <c r="N10" s="78"/>
      <c r="O10" s="80"/>
      <c r="P10" s="80"/>
      <c r="Q10" s="80"/>
      <c r="R10" s="80"/>
      <c r="S10" s="80"/>
      <c r="T10" s="80"/>
    </row>
    <row r="11" spans="3:20" x14ac:dyDescent="0.2">
      <c r="D11" s="46"/>
      <c r="N11" s="78"/>
      <c r="O11" s="80"/>
      <c r="P11" s="80"/>
      <c r="Q11" s="80"/>
      <c r="R11" s="80"/>
      <c r="S11" s="80"/>
      <c r="T11" s="80"/>
    </row>
    <row r="12" spans="3:20" x14ac:dyDescent="0.2">
      <c r="D12" s="46"/>
      <c r="J12" t="str">
        <f>+E6</f>
        <v>FTSE</v>
      </c>
      <c r="K12" s="47">
        <f>SUMIF(E$5:E115,J12,G$5:G115)</f>
        <v>21</v>
      </c>
      <c r="N12" s="78"/>
      <c r="O12" s="80"/>
      <c r="P12" s="80"/>
      <c r="Q12" s="80"/>
      <c r="R12" s="80"/>
      <c r="S12" s="80"/>
      <c r="T12" s="80"/>
    </row>
    <row r="13" spans="3:20" x14ac:dyDescent="0.2">
      <c r="D13" s="46"/>
      <c r="J13" t="str">
        <f>+E8</f>
        <v>EURGBP</v>
      </c>
      <c r="K13" s="47">
        <f>SUMIF(E$5:E116,J13,G$5:G116)</f>
        <v>49</v>
      </c>
      <c r="N13" s="78"/>
      <c r="O13" s="80"/>
      <c r="P13" s="80"/>
      <c r="Q13" s="80"/>
      <c r="R13" s="80"/>
      <c r="S13" s="80"/>
      <c r="T13" s="80"/>
    </row>
    <row r="14" spans="3:20" x14ac:dyDescent="0.2">
      <c r="D14" s="46"/>
      <c r="J14">
        <f>+E23</f>
        <v>0</v>
      </c>
      <c r="K14" s="47">
        <f>SUMIF(E$5:E117,J14,G$5:G117)</f>
        <v>0</v>
      </c>
      <c r="N14" s="78"/>
      <c r="O14" s="80"/>
      <c r="P14" s="80"/>
      <c r="Q14" s="80"/>
      <c r="R14" s="80"/>
      <c r="S14" s="80"/>
      <c r="T14" s="80"/>
    </row>
    <row r="15" spans="3:20" x14ac:dyDescent="0.2">
      <c r="D15" s="46"/>
      <c r="J15">
        <f>+E25</f>
        <v>0</v>
      </c>
      <c r="K15" s="47">
        <f>SUMIF(E$5:E118,J15,G$5:G118)</f>
        <v>0</v>
      </c>
      <c r="N15" s="78"/>
      <c r="O15" s="80"/>
      <c r="P15" s="80"/>
      <c r="Q15" s="80"/>
      <c r="R15" s="80"/>
      <c r="S15" s="80"/>
      <c r="T15" s="80"/>
    </row>
    <row r="16" spans="3:20" x14ac:dyDescent="0.2">
      <c r="D16" s="46"/>
      <c r="J16">
        <f>+E36</f>
        <v>0</v>
      </c>
      <c r="K16" s="47">
        <f>SUMIF(E$5:E119,J16,G$5:G119)</f>
        <v>0</v>
      </c>
      <c r="N16" s="78"/>
      <c r="O16" s="80"/>
      <c r="P16" s="80"/>
      <c r="Q16" s="80"/>
      <c r="R16" s="80"/>
      <c r="S16" s="80"/>
      <c r="T16" s="80"/>
    </row>
    <row r="17" spans="4:20" x14ac:dyDescent="0.2">
      <c r="D17" s="46"/>
      <c r="J17">
        <f>+E44</f>
        <v>0</v>
      </c>
      <c r="K17" s="47">
        <f>SUMIF(E$5:E120,J17,G$5:G120)</f>
        <v>0</v>
      </c>
      <c r="N17" s="78"/>
      <c r="O17" s="80"/>
      <c r="P17" s="80"/>
      <c r="Q17" s="80"/>
      <c r="R17" s="80"/>
      <c r="S17" s="80"/>
      <c r="T17" s="80"/>
    </row>
    <row r="18" spans="4:20" x14ac:dyDescent="0.2">
      <c r="D18" s="46"/>
      <c r="J18">
        <f>+E58</f>
        <v>0</v>
      </c>
      <c r="K18" s="47">
        <f>SUMIF(E$5:E121,J18,G$5:G121)</f>
        <v>0</v>
      </c>
      <c r="N18" s="78"/>
      <c r="O18" s="80"/>
      <c r="P18" s="80"/>
      <c r="Q18" s="80"/>
      <c r="R18" s="80"/>
      <c r="S18" s="80"/>
      <c r="T18" s="80"/>
    </row>
    <row r="19" spans="4:20" x14ac:dyDescent="0.2">
      <c r="D19" s="46"/>
    </row>
    <row r="20" spans="4:20" x14ac:dyDescent="0.2">
      <c r="D20" s="46"/>
    </row>
    <row r="21" spans="4:20" x14ac:dyDescent="0.2">
      <c r="D21" s="46"/>
    </row>
    <row r="22" spans="4:20" x14ac:dyDescent="0.2">
      <c r="D22" s="46"/>
    </row>
    <row r="23" spans="4:20" x14ac:dyDescent="0.2">
      <c r="D23" s="46"/>
    </row>
    <row r="24" spans="4:20" x14ac:dyDescent="0.2">
      <c r="D24" s="46"/>
    </row>
    <row r="25" spans="4:20" x14ac:dyDescent="0.2">
      <c r="D25" s="46"/>
    </row>
    <row r="26" spans="4:20" x14ac:dyDescent="0.2">
      <c r="D26" s="46"/>
    </row>
    <row r="27" spans="4:20" x14ac:dyDescent="0.2">
      <c r="D27" s="46"/>
    </row>
    <row r="28" spans="4:20" x14ac:dyDescent="0.2">
      <c r="D28" s="46"/>
    </row>
    <row r="29" spans="4:20" x14ac:dyDescent="0.2">
      <c r="D29" s="46"/>
    </row>
    <row r="30" spans="4:20" x14ac:dyDescent="0.2">
      <c r="D30" s="46"/>
    </row>
    <row r="31" spans="4:20" x14ac:dyDescent="0.2">
      <c r="D31" s="46"/>
    </row>
    <row r="32" spans="4:20" x14ac:dyDescent="0.2">
      <c r="D32" s="46"/>
    </row>
    <row r="33" spans="4:4" x14ac:dyDescent="0.2">
      <c r="D33" s="46"/>
    </row>
    <row r="34" spans="4:4" x14ac:dyDescent="0.2">
      <c r="D34" s="46"/>
    </row>
    <row r="35" spans="4:4" x14ac:dyDescent="0.2">
      <c r="D35" s="46"/>
    </row>
    <row r="36" spans="4:4" x14ac:dyDescent="0.2">
      <c r="D36" s="46"/>
    </row>
    <row r="37" spans="4:4" x14ac:dyDescent="0.2">
      <c r="D37" s="46"/>
    </row>
    <row r="38" spans="4:4" x14ac:dyDescent="0.2">
      <c r="D38" s="46"/>
    </row>
    <row r="39" spans="4:4" x14ac:dyDescent="0.2">
      <c r="D39" s="46"/>
    </row>
    <row r="40" spans="4:4" x14ac:dyDescent="0.2">
      <c r="D40" s="46"/>
    </row>
    <row r="41" spans="4:4" x14ac:dyDescent="0.2">
      <c r="D41" s="46"/>
    </row>
    <row r="42" spans="4:4" x14ac:dyDescent="0.2">
      <c r="D42" s="46"/>
    </row>
    <row r="43" spans="4:4" x14ac:dyDescent="0.2">
      <c r="D43" s="46"/>
    </row>
    <row r="44" spans="4:4" x14ac:dyDescent="0.2">
      <c r="D44" s="46"/>
    </row>
    <row r="45" spans="4:4" x14ac:dyDescent="0.2">
      <c r="D45" s="46"/>
    </row>
    <row r="46" spans="4:4" x14ac:dyDescent="0.2">
      <c r="D46" s="46"/>
    </row>
    <row r="47" spans="4:4" x14ac:dyDescent="0.2">
      <c r="D47" s="46"/>
    </row>
    <row r="48" spans="4:4" x14ac:dyDescent="0.2">
      <c r="D48" s="46"/>
    </row>
    <row r="49" spans="4:4" x14ac:dyDescent="0.2">
      <c r="D49" s="46"/>
    </row>
    <row r="50" spans="4:4" x14ac:dyDescent="0.2">
      <c r="D50" s="46"/>
    </row>
    <row r="51" spans="4:4" x14ac:dyDescent="0.2">
      <c r="D51" s="46"/>
    </row>
    <row r="52" spans="4:4" x14ac:dyDescent="0.2">
      <c r="D52" s="46"/>
    </row>
    <row r="53" spans="4:4" x14ac:dyDescent="0.2">
      <c r="D53" s="46"/>
    </row>
    <row r="54" spans="4:4" x14ac:dyDescent="0.2">
      <c r="D54" s="46"/>
    </row>
    <row r="55" spans="4:4" x14ac:dyDescent="0.2">
      <c r="D55" s="46"/>
    </row>
    <row r="56" spans="4:4" x14ac:dyDescent="0.2">
      <c r="D56" s="46"/>
    </row>
    <row r="57" spans="4:4" x14ac:dyDescent="0.2">
      <c r="D57" s="46"/>
    </row>
    <row r="58" spans="4:4" x14ac:dyDescent="0.2">
      <c r="D58" s="46"/>
    </row>
    <row r="59" spans="4:4" x14ac:dyDescent="0.2">
      <c r="D59" s="46"/>
    </row>
    <row r="60" spans="4:4" x14ac:dyDescent="0.2">
      <c r="D60" s="46"/>
    </row>
    <row r="61" spans="4:4" x14ac:dyDescent="0.2">
      <c r="D61" s="46"/>
    </row>
    <row r="62" spans="4:4" x14ac:dyDescent="0.2">
      <c r="D62" s="46"/>
    </row>
    <row r="63" spans="4:4" x14ac:dyDescent="0.2">
      <c r="D63" s="46"/>
    </row>
    <row r="64" spans="4:4" x14ac:dyDescent="0.2">
      <c r="D64" s="46"/>
    </row>
    <row r="65" spans="4:4" x14ac:dyDescent="0.2">
      <c r="D65" s="46"/>
    </row>
    <row r="66" spans="4:4" x14ac:dyDescent="0.2">
      <c r="D66" s="46"/>
    </row>
    <row r="67" spans="4:4" x14ac:dyDescent="0.2">
      <c r="D67" s="46"/>
    </row>
    <row r="68" spans="4:4" x14ac:dyDescent="0.2">
      <c r="D68" s="46"/>
    </row>
    <row r="69" spans="4:4" x14ac:dyDescent="0.2">
      <c r="D69" s="46"/>
    </row>
    <row r="70" spans="4:4" x14ac:dyDescent="0.2">
      <c r="D70" s="46"/>
    </row>
    <row r="71" spans="4:4" x14ac:dyDescent="0.2">
      <c r="D71" s="46"/>
    </row>
    <row r="72" spans="4:4" x14ac:dyDescent="0.2">
      <c r="D72" s="46"/>
    </row>
    <row r="73" spans="4:4" x14ac:dyDescent="0.2">
      <c r="D73" s="46"/>
    </row>
    <row r="74" spans="4:4" x14ac:dyDescent="0.2">
      <c r="D74" s="46"/>
    </row>
    <row r="75" spans="4:4" x14ac:dyDescent="0.2">
      <c r="D75" s="46"/>
    </row>
    <row r="76" spans="4:4" x14ac:dyDescent="0.2">
      <c r="D76" s="46"/>
    </row>
    <row r="77" spans="4:4" x14ac:dyDescent="0.2">
      <c r="D77" s="46"/>
    </row>
    <row r="78" spans="4:4" x14ac:dyDescent="0.2">
      <c r="D78" s="46"/>
    </row>
    <row r="79" spans="4:4" x14ac:dyDescent="0.2">
      <c r="D79" s="46"/>
    </row>
    <row r="80" spans="4:4" x14ac:dyDescent="0.2">
      <c r="D80" s="46"/>
    </row>
    <row r="81" spans="4:4" x14ac:dyDescent="0.2">
      <c r="D81" s="46"/>
    </row>
    <row r="82" spans="4:4" x14ac:dyDescent="0.2">
      <c r="D82" s="46"/>
    </row>
    <row r="83" spans="4:4" x14ac:dyDescent="0.2">
      <c r="D83" s="46"/>
    </row>
    <row r="84" spans="4:4" x14ac:dyDescent="0.2">
      <c r="D84" s="46"/>
    </row>
    <row r="85" spans="4:4" x14ac:dyDescent="0.2">
      <c r="D85" s="46"/>
    </row>
    <row r="86" spans="4:4" x14ac:dyDescent="0.2">
      <c r="D86" s="46"/>
    </row>
    <row r="87" spans="4:4" x14ac:dyDescent="0.2">
      <c r="D87" s="46"/>
    </row>
    <row r="88" spans="4:4" x14ac:dyDescent="0.2">
      <c r="D88" s="46"/>
    </row>
    <row r="89" spans="4:4" x14ac:dyDescent="0.2">
      <c r="D89" s="46"/>
    </row>
    <row r="90" spans="4:4" x14ac:dyDescent="0.2">
      <c r="D90" s="46"/>
    </row>
    <row r="91" spans="4:4" x14ac:dyDescent="0.2">
      <c r="D91" s="46"/>
    </row>
    <row r="92" spans="4:4" x14ac:dyDescent="0.2">
      <c r="D92" s="46"/>
    </row>
    <row r="93" spans="4:4" x14ac:dyDescent="0.2">
      <c r="D93" s="46"/>
    </row>
    <row r="94" spans="4:4" x14ac:dyDescent="0.2">
      <c r="D94" s="46"/>
    </row>
    <row r="95" spans="4:4" x14ac:dyDescent="0.2">
      <c r="D95" s="46"/>
    </row>
    <row r="96" spans="4:4" x14ac:dyDescent="0.2">
      <c r="D96" s="46"/>
    </row>
    <row r="97" spans="4:4" x14ac:dyDescent="0.2">
      <c r="D97" s="46"/>
    </row>
    <row r="98" spans="4:4" x14ac:dyDescent="0.2">
      <c r="D98" s="46"/>
    </row>
    <row r="99" spans="4:4" x14ac:dyDescent="0.2">
      <c r="D99" s="46"/>
    </row>
    <row r="100" spans="4:4" x14ac:dyDescent="0.2">
      <c r="D100" s="46"/>
    </row>
    <row r="101" spans="4:4" x14ac:dyDescent="0.2">
      <c r="D101" s="46"/>
    </row>
    <row r="102" spans="4:4" x14ac:dyDescent="0.2">
      <c r="D102" s="46"/>
    </row>
    <row r="103" spans="4:4" x14ac:dyDescent="0.2">
      <c r="D103" s="46"/>
    </row>
    <row r="104" spans="4:4" x14ac:dyDescent="0.2">
      <c r="D104" s="46"/>
    </row>
    <row r="105" spans="4:4" x14ac:dyDescent="0.2">
      <c r="D105" s="46"/>
    </row>
    <row r="106" spans="4:4" x14ac:dyDescent="0.2">
      <c r="D106" s="46"/>
    </row>
    <row r="107" spans="4:4" x14ac:dyDescent="0.2">
      <c r="D107" s="46"/>
    </row>
    <row r="108" spans="4:4" x14ac:dyDescent="0.2">
      <c r="D108" s="46"/>
    </row>
    <row r="109" spans="4:4" x14ac:dyDescent="0.2">
      <c r="D109" s="46"/>
    </row>
    <row r="110" spans="4:4" x14ac:dyDescent="0.2">
      <c r="D110" s="46"/>
    </row>
    <row r="111" spans="4:4" x14ac:dyDescent="0.2">
      <c r="D111" s="46"/>
    </row>
  </sheetData>
  <sortState ref="C4:H61">
    <sortCondition ref="C5:C61"/>
    <sortCondition ref="D5:D61"/>
    <sortCondition ref="E5:E61"/>
    <sortCondition ref="F5:F61"/>
    <sortCondition ref="H5:H61"/>
  </sortState>
  <mergeCells count="1">
    <mergeCell ref="C1:C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FF00"/>
  </sheetPr>
  <dimension ref="B3:K21"/>
  <sheetViews>
    <sheetView workbookViewId="0">
      <selection activeCell="E18" sqref="E18"/>
    </sheetView>
  </sheetViews>
  <sheetFormatPr baseColWidth="10" defaultRowHeight="15" x14ac:dyDescent="0.2"/>
  <cols>
    <col min="2" max="2" width="16" customWidth="1"/>
    <col min="3" max="3" width="19" customWidth="1"/>
  </cols>
  <sheetData>
    <row r="3" spans="2:11" x14ac:dyDescent="0.2">
      <c r="C3" s="1" t="s">
        <v>128</v>
      </c>
      <c r="D3" s="169">
        <f>+Capital_actuel</f>
        <v>5058.49</v>
      </c>
    </row>
    <row r="4" spans="2:11" x14ac:dyDescent="0.2">
      <c r="B4" s="1" t="s">
        <v>142</v>
      </c>
      <c r="D4" s="193">
        <v>0.02</v>
      </c>
      <c r="E4" t="s">
        <v>130</v>
      </c>
    </row>
    <row r="5" spans="2:11" x14ac:dyDescent="0.2">
      <c r="C5" s="1" t="s">
        <v>129</v>
      </c>
      <c r="D5" s="168">
        <f>+Risque_Maxi*D3</f>
        <v>101.1698</v>
      </c>
    </row>
    <row r="8" spans="2:11" x14ac:dyDescent="0.2">
      <c r="C8" s="219" t="s">
        <v>131</v>
      </c>
      <c r="D8" s="219"/>
      <c r="E8" s="219"/>
    </row>
    <row r="10" spans="2:11" ht="30" x14ac:dyDescent="0.2">
      <c r="C10" s="144" t="s">
        <v>30</v>
      </c>
      <c r="D10" s="144" t="s">
        <v>132</v>
      </c>
      <c r="E10" s="144" t="s">
        <v>133</v>
      </c>
    </row>
    <row r="11" spans="2:11" x14ac:dyDescent="0.2">
      <c r="C11" s="167" t="s">
        <v>62</v>
      </c>
      <c r="D11" s="167"/>
      <c r="E11" s="167">
        <v>1</v>
      </c>
      <c r="F11" s="72" t="s">
        <v>140</v>
      </c>
    </row>
    <row r="12" spans="2:11" ht="19" x14ac:dyDescent="0.25">
      <c r="C12" s="171" t="s">
        <v>134</v>
      </c>
      <c r="D12" s="174">
        <f>IFERROR(IF(D11="",+D5/E11/VLOOKUP(C11,Liste_Instrument,10,FALSE),""),"")</f>
        <v>101.1698</v>
      </c>
      <c r="E12" s="174" t="str">
        <f>IFERROR(IF(E11="",D5/D11/VLOOKUP(C11,Liste_Instrument,10,FALSE),""),"")</f>
        <v/>
      </c>
      <c r="F12" s="72" t="s">
        <v>141</v>
      </c>
    </row>
    <row r="15" spans="2:11" x14ac:dyDescent="0.2">
      <c r="C15" s="1" t="s">
        <v>135</v>
      </c>
    </row>
    <row r="16" spans="2:11" x14ac:dyDescent="0.2">
      <c r="D16" s="1" t="s">
        <v>63</v>
      </c>
      <c r="F16" s="145" t="s">
        <v>139</v>
      </c>
      <c r="G16" s="145" t="s">
        <v>70</v>
      </c>
      <c r="H16" s="145" t="s">
        <v>71</v>
      </c>
      <c r="I16" s="145" t="s">
        <v>72</v>
      </c>
      <c r="J16" s="145" t="s">
        <v>73</v>
      </c>
      <c r="K16" s="145" t="s">
        <v>74</v>
      </c>
    </row>
    <row r="17" spans="3:11" x14ac:dyDescent="0.2">
      <c r="C17" t="s">
        <v>30</v>
      </c>
      <c r="D17" s="196" t="str">
        <f>+C11</f>
        <v>FTSE</v>
      </c>
      <c r="F17" s="197">
        <f>DGET('Pips et volatilité'!$E$19:$P$28,7,$D$16:$D$17)</f>
        <v>20</v>
      </c>
      <c r="G17" s="197">
        <f>DGET('Pips et volatilité'!$E$19:$P$28,8,$D$16:$D$17)</f>
        <v>25</v>
      </c>
      <c r="H17" s="197">
        <f>DGET('Pips et volatilité'!$E$19:$P$28,9,$D$16:$D$17)</f>
        <v>40</v>
      </c>
      <c r="I17" s="197">
        <f>DGET('Pips et volatilité'!$E$19:$P$28,10,$D$16:$D$17)</f>
        <v>80</v>
      </c>
      <c r="J17" s="197">
        <f>DGET('Pips et volatilité'!$E$19:$P$28,11,$D$16:$D$17)</f>
        <v>300</v>
      </c>
      <c r="K17" s="197">
        <f>DGET('Pips et volatilité'!$E$19:$P$28,12,$D$16:$D$17)</f>
        <v>400</v>
      </c>
    </row>
    <row r="18" spans="3:11" x14ac:dyDescent="0.2">
      <c r="C18" t="s">
        <v>132</v>
      </c>
      <c r="D18" s="194">
        <f>IF(D11="",D12,D11)</f>
        <v>101.1698</v>
      </c>
    </row>
    <row r="19" spans="3:11" x14ac:dyDescent="0.2">
      <c r="C19" t="s">
        <v>136</v>
      </c>
      <c r="D19" s="170">
        <f>IF(E11="",E12,E11)</f>
        <v>1</v>
      </c>
    </row>
    <row r="20" spans="3:11" x14ac:dyDescent="0.2">
      <c r="C20" s="45" t="s">
        <v>137</v>
      </c>
      <c r="D20" s="195">
        <f>+D19*VLOOKUP(D17,Liste_Instrument,7,FALSE)/Capital_actuel</f>
        <v>1.2612459449361371</v>
      </c>
    </row>
    <row r="21" spans="3:11" ht="19" x14ac:dyDescent="0.25">
      <c r="C21" s="172" t="s">
        <v>138</v>
      </c>
      <c r="D21" s="173" t="s">
        <v>72</v>
      </c>
      <c r="E21" s="72" t="s">
        <v>143</v>
      </c>
    </row>
  </sheetData>
  <mergeCells count="1">
    <mergeCell ref="C8:E8"/>
  </mergeCells>
  <dataValidations count="1">
    <dataValidation type="list" allowBlank="1" showInputMessage="1" showErrorMessage="1" sqref="C11">
      <formula1>Code_Instrument</formula1>
    </dataValidation>
  </dataValidations>
  <pageMargins left="0.7" right="0.7" top="0.75" bottom="0.75" header="0.3" footer="0.3"/>
  <ignoredErrors>
    <ignoredError sqref="F17:G17" evalError="1"/>
  </ignoredError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A4:P51"/>
  <sheetViews>
    <sheetView topLeftCell="A8" workbookViewId="0">
      <selection activeCell="K24" sqref="K24"/>
    </sheetView>
  </sheetViews>
  <sheetFormatPr baseColWidth="10" defaultRowHeight="15" x14ac:dyDescent="0.2"/>
  <cols>
    <col min="1" max="1" width="7.33203125" customWidth="1"/>
    <col min="2" max="4" width="6.6640625" customWidth="1"/>
    <col min="7" max="7" width="10.1640625" customWidth="1"/>
    <col min="8" max="8" width="11.83203125" bestFit="1" customWidth="1"/>
    <col min="10" max="10" width="11.83203125" bestFit="1" customWidth="1"/>
  </cols>
  <sheetData>
    <row r="4" spans="1:16" x14ac:dyDescent="0.2">
      <c r="J4" s="82"/>
    </row>
    <row r="5" spans="1:16" x14ac:dyDescent="0.2">
      <c r="J5" s="83"/>
      <c r="K5" s="222" t="s">
        <v>68</v>
      </c>
      <c r="L5" s="222"/>
      <c r="M5" s="222"/>
      <c r="N5" s="222"/>
      <c r="O5" s="222"/>
      <c r="P5" s="222"/>
    </row>
    <row r="6" spans="1:16" ht="31" thickBot="1" x14ac:dyDescent="0.25">
      <c r="A6" s="101"/>
      <c r="B6" s="101" t="s">
        <v>65</v>
      </c>
      <c r="C6" s="101" t="s">
        <v>85</v>
      </c>
      <c r="D6" s="101"/>
      <c r="E6" s="84" t="s">
        <v>63</v>
      </c>
      <c r="F6" s="84" t="s">
        <v>80</v>
      </c>
      <c r="G6" s="84" t="s">
        <v>64</v>
      </c>
      <c r="H6" s="135" t="s">
        <v>66</v>
      </c>
      <c r="I6" s="135" t="s">
        <v>81</v>
      </c>
      <c r="J6" s="136" t="s">
        <v>67</v>
      </c>
      <c r="K6" s="84" t="s">
        <v>69</v>
      </c>
      <c r="L6" s="84" t="s">
        <v>70</v>
      </c>
      <c r="M6" s="84" t="s">
        <v>71</v>
      </c>
      <c r="N6" s="84" t="s">
        <v>72</v>
      </c>
      <c r="O6" s="84" t="s">
        <v>73</v>
      </c>
      <c r="P6" s="84" t="s">
        <v>74</v>
      </c>
    </row>
    <row r="7" spans="1:16" x14ac:dyDescent="0.2">
      <c r="A7" s="102">
        <v>10</v>
      </c>
      <c r="B7" s="101" t="s">
        <v>79</v>
      </c>
      <c r="C7" s="101">
        <v>0.5</v>
      </c>
      <c r="D7" s="101"/>
      <c r="E7" s="85" t="s">
        <v>33</v>
      </c>
      <c r="F7" s="105">
        <v>1.2</v>
      </c>
      <c r="G7" s="87">
        <v>0.84</v>
      </c>
      <c r="H7" s="133">
        <f>+F7/I7*G7</f>
        <v>10079.999999999998</v>
      </c>
      <c r="I7" s="3">
        <v>1E-4</v>
      </c>
      <c r="J7" s="134">
        <f>+G7/H7</f>
        <v>8.3333333333333344E-5</v>
      </c>
      <c r="K7" s="152">
        <v>3.0000000000000001E-3</v>
      </c>
      <c r="L7" s="152">
        <v>6.0000000000000001E-3</v>
      </c>
      <c r="M7" s="152">
        <v>0.01</v>
      </c>
      <c r="N7" s="152">
        <v>0.02</v>
      </c>
      <c r="O7" s="152">
        <v>0.05</v>
      </c>
      <c r="P7" s="152">
        <v>0.1</v>
      </c>
    </row>
    <row r="8" spans="1:16" x14ac:dyDescent="0.2">
      <c r="A8" s="123">
        <v>100</v>
      </c>
      <c r="B8" s="101"/>
      <c r="C8" s="101">
        <v>0.5</v>
      </c>
      <c r="D8" s="101"/>
      <c r="E8" s="89" t="s">
        <v>46</v>
      </c>
      <c r="F8" s="89">
        <v>140</v>
      </c>
      <c r="G8" s="90">
        <v>0.76</v>
      </c>
      <c r="H8" s="130">
        <f>+F8/I8*G8</f>
        <v>10640</v>
      </c>
      <c r="I8" s="131">
        <v>0.01</v>
      </c>
      <c r="J8" s="132">
        <f>+G8/H8</f>
        <v>7.1428571428571434E-5</v>
      </c>
      <c r="K8" s="153">
        <v>3.0000000000000001E-3</v>
      </c>
      <c r="L8" s="153">
        <v>5.0000000000000001E-3</v>
      </c>
      <c r="M8" s="153">
        <v>0.01</v>
      </c>
      <c r="N8" s="153">
        <v>0.02</v>
      </c>
      <c r="O8" s="153">
        <v>0.05</v>
      </c>
      <c r="P8" s="153">
        <v>0.2</v>
      </c>
    </row>
    <row r="9" spans="1:16" x14ac:dyDescent="0.2">
      <c r="A9" s="103">
        <v>1</v>
      </c>
      <c r="B9" s="101" t="s">
        <v>79</v>
      </c>
      <c r="C9" s="101">
        <v>0.5</v>
      </c>
      <c r="D9" s="101"/>
      <c r="E9" s="89" t="s">
        <v>75</v>
      </c>
      <c r="F9" s="92">
        <v>0.92300000000000004</v>
      </c>
      <c r="G9" s="90">
        <f>+A9/F9</f>
        <v>1.0834236186348862</v>
      </c>
      <c r="H9" s="91">
        <f>+F9/I9*G9</f>
        <v>10000</v>
      </c>
      <c r="I9" s="89">
        <v>1E-4</v>
      </c>
      <c r="J9" s="98">
        <f t="shared" ref="J9:J15" si="0">+G9/H9</f>
        <v>1.0834236186348862E-4</v>
      </c>
      <c r="K9" s="153"/>
      <c r="L9" s="153"/>
      <c r="M9" s="153"/>
      <c r="N9" s="153"/>
      <c r="O9" s="153"/>
      <c r="P9" s="153"/>
    </row>
    <row r="10" spans="1:16" x14ac:dyDescent="0.2">
      <c r="A10" s="104">
        <v>1</v>
      </c>
      <c r="B10" s="101" t="s">
        <v>79</v>
      </c>
      <c r="C10" s="101">
        <v>0.5</v>
      </c>
      <c r="D10" s="101"/>
      <c r="E10" s="89" t="s">
        <v>36</v>
      </c>
      <c r="F10" s="89">
        <v>5000</v>
      </c>
      <c r="G10" s="90">
        <v>1</v>
      </c>
      <c r="H10" s="91">
        <f>+F10/I10</f>
        <v>5000</v>
      </c>
      <c r="I10" s="89">
        <v>1</v>
      </c>
      <c r="J10" s="98">
        <f t="shared" si="0"/>
        <v>2.0000000000000001E-4</v>
      </c>
      <c r="K10" s="153">
        <v>5.0000000000000001E-3</v>
      </c>
      <c r="L10" s="153">
        <v>7.0000000000000001E-3</v>
      </c>
      <c r="M10" s="153">
        <v>1.4999999999999999E-2</v>
      </c>
      <c r="N10" s="153">
        <v>0.02</v>
      </c>
      <c r="O10" s="153">
        <v>0.05</v>
      </c>
      <c r="P10" s="153">
        <v>0.1</v>
      </c>
    </row>
    <row r="11" spans="1:16" s="129" customFormat="1" x14ac:dyDescent="0.2">
      <c r="A11" s="124"/>
      <c r="B11" s="124"/>
      <c r="C11" s="124"/>
      <c r="D11" s="124"/>
      <c r="E11" s="125" t="s">
        <v>76</v>
      </c>
      <c r="F11" s="125">
        <v>12000</v>
      </c>
      <c r="G11" s="126">
        <v>5</v>
      </c>
      <c r="H11" s="127">
        <f>+F11/I11</f>
        <v>12000</v>
      </c>
      <c r="I11" s="125">
        <v>1</v>
      </c>
      <c r="J11" s="128">
        <f t="shared" si="0"/>
        <v>4.1666666666666669E-4</v>
      </c>
      <c r="K11" s="154"/>
      <c r="L11" s="154"/>
      <c r="M11" s="154"/>
      <c r="N11" s="154"/>
      <c r="O11" s="154"/>
      <c r="P11" s="154"/>
    </row>
    <row r="12" spans="1:16" x14ac:dyDescent="0.2">
      <c r="A12" s="103"/>
      <c r="B12" s="101" t="s">
        <v>79</v>
      </c>
      <c r="C12" s="101">
        <v>0.5</v>
      </c>
      <c r="D12" s="101"/>
      <c r="E12" s="89" t="s">
        <v>62</v>
      </c>
      <c r="F12" s="89">
        <v>7400</v>
      </c>
      <c r="G12" s="90">
        <v>1</v>
      </c>
      <c r="H12" s="91">
        <f>+G12*F12</f>
        <v>7400</v>
      </c>
      <c r="I12" s="89">
        <v>1</v>
      </c>
      <c r="J12" s="98">
        <f t="shared" si="0"/>
        <v>1.3513513513513514E-4</v>
      </c>
      <c r="K12" s="153">
        <v>3.0000000000000001E-3</v>
      </c>
      <c r="L12" s="153">
        <v>7.0000000000000001E-3</v>
      </c>
      <c r="M12" s="153">
        <v>0.01</v>
      </c>
      <c r="N12" s="153">
        <v>0.02</v>
      </c>
      <c r="O12" s="153">
        <v>0.1</v>
      </c>
      <c r="P12" s="153">
        <v>0.25</v>
      </c>
    </row>
    <row r="13" spans="1:16" x14ac:dyDescent="0.2">
      <c r="A13" s="101"/>
      <c r="B13" s="101" t="s">
        <v>79</v>
      </c>
      <c r="C13" s="101">
        <v>0.5</v>
      </c>
      <c r="D13" s="101"/>
      <c r="E13" s="89" t="s">
        <v>77</v>
      </c>
      <c r="F13" s="89">
        <v>3400</v>
      </c>
      <c r="G13" s="90">
        <v>2</v>
      </c>
      <c r="H13" s="91">
        <f>+G13*F13</f>
        <v>6800</v>
      </c>
      <c r="I13" s="89">
        <v>1</v>
      </c>
      <c r="J13" s="98">
        <f t="shared" si="0"/>
        <v>2.941176470588235E-4</v>
      </c>
      <c r="K13" s="153">
        <v>5.0000000000000001E-3</v>
      </c>
      <c r="L13" s="153">
        <v>7.0000000000000001E-3</v>
      </c>
      <c r="M13" s="153">
        <v>1.4999999999999999E-2</v>
      </c>
      <c r="N13" s="153">
        <f>+N10</f>
        <v>0.02</v>
      </c>
      <c r="O13" s="153">
        <f>+O10</f>
        <v>0.05</v>
      </c>
      <c r="P13" s="153">
        <f>+P10</f>
        <v>0.1</v>
      </c>
    </row>
    <row r="14" spans="1:16" x14ac:dyDescent="0.2">
      <c r="A14" s="101"/>
      <c r="B14" s="101"/>
      <c r="C14" s="101">
        <v>5</v>
      </c>
      <c r="D14" s="101"/>
      <c r="E14" s="148" t="s">
        <v>152</v>
      </c>
      <c r="F14" s="148">
        <v>1305</v>
      </c>
      <c r="G14" s="149">
        <v>1</v>
      </c>
      <c r="H14" s="150">
        <v>1305</v>
      </c>
      <c r="I14" s="148">
        <v>1</v>
      </c>
      <c r="J14" s="98">
        <f t="shared" si="0"/>
        <v>7.6628352490421458E-4</v>
      </c>
      <c r="K14" s="151">
        <v>0.01</v>
      </c>
      <c r="L14" s="151">
        <v>0.02</v>
      </c>
      <c r="M14" s="151">
        <v>0.02</v>
      </c>
      <c r="N14" s="151">
        <v>2.5000000000000001E-2</v>
      </c>
      <c r="O14" s="151">
        <v>0.05</v>
      </c>
      <c r="P14" s="151">
        <v>0.15</v>
      </c>
    </row>
    <row r="15" spans="1:16" ht="16" thickBot="1" x14ac:dyDescent="0.25">
      <c r="A15" s="101"/>
      <c r="B15" s="101" t="s">
        <v>79</v>
      </c>
      <c r="C15" s="101">
        <v>0.5</v>
      </c>
      <c r="D15" s="101"/>
      <c r="E15" s="93" t="s">
        <v>101</v>
      </c>
      <c r="F15" s="93">
        <v>1305</v>
      </c>
      <c r="G15" s="94">
        <v>0.84</v>
      </c>
      <c r="H15" s="100">
        <v>1305</v>
      </c>
      <c r="I15" s="93">
        <v>1</v>
      </c>
      <c r="J15" s="99">
        <f t="shared" si="0"/>
        <v>6.4367816091954024E-4</v>
      </c>
      <c r="K15" s="155">
        <v>0.01</v>
      </c>
      <c r="L15" s="155">
        <v>0.02</v>
      </c>
      <c r="M15" s="155">
        <v>0.02</v>
      </c>
      <c r="N15" s="155">
        <v>2.5000000000000001E-2</v>
      </c>
      <c r="O15" s="155">
        <v>0.05</v>
      </c>
      <c r="P15" s="155">
        <v>0.15</v>
      </c>
    </row>
    <row r="16" spans="1:16" x14ac:dyDescent="0.2">
      <c r="A16" s="101"/>
      <c r="B16" s="101"/>
      <c r="C16" s="101"/>
      <c r="D16" s="101"/>
    </row>
    <row r="17" spans="1:16" x14ac:dyDescent="0.2">
      <c r="A17" s="101"/>
      <c r="B17" s="101"/>
      <c r="C17" s="101"/>
      <c r="D17" s="101"/>
    </row>
    <row r="18" spans="1:16" x14ac:dyDescent="0.2">
      <c r="A18" s="101"/>
      <c r="B18" s="101"/>
      <c r="C18" s="101"/>
      <c r="D18" s="101"/>
      <c r="J18" s="83"/>
      <c r="K18" s="222" t="s">
        <v>82</v>
      </c>
      <c r="L18" s="222"/>
      <c r="M18" s="222"/>
      <c r="N18" s="222"/>
      <c r="O18" s="222"/>
      <c r="P18" s="222"/>
    </row>
    <row r="19" spans="1:16" ht="31" thickBot="1" x14ac:dyDescent="0.25">
      <c r="A19" s="101"/>
      <c r="B19" s="101" t="s">
        <v>65</v>
      </c>
      <c r="C19" s="101"/>
      <c r="D19" s="101"/>
      <c r="E19" s="84" t="s">
        <v>63</v>
      </c>
      <c r="F19" s="84" t="s">
        <v>80</v>
      </c>
      <c r="G19" s="84" t="s">
        <v>64</v>
      </c>
      <c r="H19" s="84" t="s">
        <v>66</v>
      </c>
      <c r="I19" s="84" t="s">
        <v>81</v>
      </c>
      <c r="J19" s="96" t="s">
        <v>67</v>
      </c>
      <c r="K19" s="111" t="s">
        <v>139</v>
      </c>
      <c r="L19" s="112" t="s">
        <v>70</v>
      </c>
      <c r="M19" s="107" t="s">
        <v>71</v>
      </c>
      <c r="N19" s="108" t="s">
        <v>72</v>
      </c>
      <c r="O19" s="109" t="s">
        <v>73</v>
      </c>
      <c r="P19" s="110" t="s">
        <v>74</v>
      </c>
    </row>
    <row r="20" spans="1:16" x14ac:dyDescent="0.2">
      <c r="A20" s="101"/>
      <c r="B20" s="101"/>
      <c r="C20" s="101"/>
      <c r="D20" s="101"/>
      <c r="E20" s="85" t="s">
        <v>33</v>
      </c>
      <c r="F20" s="86">
        <f t="shared" ref="F20:J28" si="1">F7</f>
        <v>1.2</v>
      </c>
      <c r="G20" s="87">
        <f t="shared" si="1"/>
        <v>0.84</v>
      </c>
      <c r="H20" s="88">
        <f t="shared" si="1"/>
        <v>10079.999999999998</v>
      </c>
      <c r="I20" s="85">
        <f t="shared" si="1"/>
        <v>1E-4</v>
      </c>
      <c r="J20" s="97">
        <f t="shared" si="1"/>
        <v>8.3333333333333344E-5</v>
      </c>
      <c r="K20" s="88">
        <v>5</v>
      </c>
      <c r="L20" s="88">
        <v>5</v>
      </c>
      <c r="M20" s="88">
        <v>10</v>
      </c>
      <c r="N20" s="88">
        <v>20</v>
      </c>
      <c r="O20" s="88">
        <v>50</v>
      </c>
      <c r="P20" s="88">
        <v>100</v>
      </c>
    </row>
    <row r="21" spans="1:16" x14ac:dyDescent="0.2">
      <c r="A21" s="101"/>
      <c r="B21" s="101"/>
      <c r="C21" s="101"/>
      <c r="D21" s="101"/>
      <c r="E21" s="89" t="s">
        <v>46</v>
      </c>
      <c r="F21" s="89">
        <f t="shared" si="1"/>
        <v>140</v>
      </c>
      <c r="G21" s="90">
        <f t="shared" si="1"/>
        <v>0.76</v>
      </c>
      <c r="H21" s="91">
        <f t="shared" si="1"/>
        <v>10640</v>
      </c>
      <c r="I21" s="89">
        <f t="shared" si="1"/>
        <v>0.01</v>
      </c>
      <c r="J21" s="147">
        <f t="shared" si="1"/>
        <v>7.1428571428571434E-5</v>
      </c>
      <c r="K21" s="91">
        <v>20</v>
      </c>
      <c r="L21" s="91">
        <v>40</v>
      </c>
      <c r="M21" s="91">
        <v>40</v>
      </c>
      <c r="N21" s="91">
        <v>100</v>
      </c>
      <c r="O21" s="91">
        <v>240</v>
      </c>
      <c r="P21" s="91">
        <v>500</v>
      </c>
    </row>
    <row r="22" spans="1:16" x14ac:dyDescent="0.2">
      <c r="A22" s="101"/>
      <c r="B22" s="101"/>
      <c r="C22" s="101"/>
      <c r="D22" s="101"/>
      <c r="E22" s="89" t="s">
        <v>75</v>
      </c>
      <c r="F22" s="92">
        <f t="shared" si="1"/>
        <v>0.92300000000000004</v>
      </c>
      <c r="G22" s="90">
        <f t="shared" si="1"/>
        <v>1.0834236186348862</v>
      </c>
      <c r="H22" s="91">
        <f t="shared" si="1"/>
        <v>10000</v>
      </c>
      <c r="I22" s="89">
        <f t="shared" si="1"/>
        <v>1E-4</v>
      </c>
      <c r="J22" s="98">
        <f t="shared" si="1"/>
        <v>1.0834236186348862E-4</v>
      </c>
      <c r="K22" s="91">
        <v>15</v>
      </c>
      <c r="L22" s="91">
        <v>15</v>
      </c>
      <c r="M22" s="91">
        <v>40</v>
      </c>
      <c r="N22" s="91">
        <v>80</v>
      </c>
      <c r="O22" s="91">
        <v>180</v>
      </c>
      <c r="P22" s="91">
        <v>360</v>
      </c>
    </row>
    <row r="23" spans="1:16" x14ac:dyDescent="0.2">
      <c r="A23" s="101"/>
      <c r="B23" s="101" t="s">
        <v>79</v>
      </c>
      <c r="C23" s="101"/>
      <c r="D23" s="101"/>
      <c r="E23" s="89" t="s">
        <v>36</v>
      </c>
      <c r="F23" s="89">
        <f t="shared" si="1"/>
        <v>5000</v>
      </c>
      <c r="G23" s="90">
        <f t="shared" si="1"/>
        <v>1</v>
      </c>
      <c r="H23" s="91">
        <f t="shared" si="1"/>
        <v>5000</v>
      </c>
      <c r="I23" s="89">
        <f t="shared" si="1"/>
        <v>1</v>
      </c>
      <c r="J23" s="98">
        <f t="shared" si="1"/>
        <v>2.0000000000000001E-4</v>
      </c>
      <c r="K23" s="91">
        <v>10</v>
      </c>
      <c r="L23" s="91">
        <v>20</v>
      </c>
      <c r="M23" s="91">
        <v>40</v>
      </c>
      <c r="N23" s="91">
        <v>80</v>
      </c>
      <c r="O23" s="91">
        <v>250</v>
      </c>
      <c r="P23" s="91">
        <v>400</v>
      </c>
    </row>
    <row r="24" spans="1:16" x14ac:dyDescent="0.2">
      <c r="A24" s="101"/>
      <c r="B24" s="101"/>
      <c r="C24" s="101"/>
      <c r="D24" s="101"/>
      <c r="E24" s="89" t="s">
        <v>76</v>
      </c>
      <c r="F24" s="89">
        <f t="shared" si="1"/>
        <v>12000</v>
      </c>
      <c r="G24" s="90">
        <f t="shared" si="1"/>
        <v>5</v>
      </c>
      <c r="H24" s="91">
        <f t="shared" si="1"/>
        <v>12000</v>
      </c>
      <c r="I24" s="89">
        <f t="shared" si="1"/>
        <v>1</v>
      </c>
      <c r="J24" s="98">
        <f t="shared" si="1"/>
        <v>4.1666666666666669E-4</v>
      </c>
      <c r="K24" s="91"/>
      <c r="L24" s="91"/>
      <c r="M24" s="91"/>
      <c r="N24" s="91"/>
      <c r="O24" s="91"/>
      <c r="P24" s="91"/>
    </row>
    <row r="25" spans="1:16" x14ac:dyDescent="0.2">
      <c r="A25" s="101"/>
      <c r="B25" s="101"/>
      <c r="C25" s="101"/>
      <c r="D25" s="101"/>
      <c r="E25" s="89" t="s">
        <v>62</v>
      </c>
      <c r="F25" s="89">
        <f t="shared" si="1"/>
        <v>7400</v>
      </c>
      <c r="G25" s="90">
        <f t="shared" si="1"/>
        <v>1</v>
      </c>
      <c r="H25" s="91">
        <f t="shared" si="1"/>
        <v>7400</v>
      </c>
      <c r="I25" s="89">
        <f t="shared" si="1"/>
        <v>1</v>
      </c>
      <c r="J25" s="98">
        <f t="shared" si="1"/>
        <v>1.3513513513513514E-4</v>
      </c>
      <c r="K25" s="91">
        <v>20</v>
      </c>
      <c r="L25" s="91">
        <v>25</v>
      </c>
      <c r="M25" s="91">
        <v>40</v>
      </c>
      <c r="N25" s="91">
        <v>80</v>
      </c>
      <c r="O25" s="91">
        <v>300</v>
      </c>
      <c r="P25" s="91">
        <v>400</v>
      </c>
    </row>
    <row r="26" spans="1:16" x14ac:dyDescent="0.2">
      <c r="A26" s="101"/>
      <c r="B26" s="101"/>
      <c r="C26" s="101"/>
      <c r="D26" s="101"/>
      <c r="E26" s="89" t="s">
        <v>77</v>
      </c>
      <c r="F26" s="89">
        <f t="shared" si="1"/>
        <v>3400</v>
      </c>
      <c r="G26" s="90">
        <f t="shared" si="1"/>
        <v>2</v>
      </c>
      <c r="H26" s="91">
        <f t="shared" si="1"/>
        <v>6800</v>
      </c>
      <c r="I26" s="89">
        <f t="shared" si="1"/>
        <v>1</v>
      </c>
      <c r="J26" s="98">
        <f t="shared" si="1"/>
        <v>2.941176470588235E-4</v>
      </c>
      <c r="K26" s="91">
        <v>10</v>
      </c>
      <c r="L26" s="91">
        <v>10</v>
      </c>
      <c r="M26" s="91">
        <v>30</v>
      </c>
      <c r="N26" s="91">
        <v>50</v>
      </c>
      <c r="O26" s="91">
        <v>150</v>
      </c>
      <c r="P26" s="91">
        <v>300</v>
      </c>
    </row>
    <row r="27" spans="1:16" x14ac:dyDescent="0.2">
      <c r="A27" s="101"/>
      <c r="B27" s="101"/>
      <c r="C27" s="101"/>
      <c r="D27" s="101"/>
      <c r="E27" s="89" t="str">
        <f>+E14</f>
        <v>GOLDONE</v>
      </c>
      <c r="F27" s="89">
        <f t="shared" si="1"/>
        <v>1305</v>
      </c>
      <c r="G27" s="90">
        <f t="shared" si="1"/>
        <v>1</v>
      </c>
      <c r="H27" s="91">
        <f t="shared" si="1"/>
        <v>1305</v>
      </c>
      <c r="I27" s="89">
        <f t="shared" si="1"/>
        <v>1</v>
      </c>
      <c r="J27" s="98">
        <f t="shared" si="1"/>
        <v>7.6628352490421458E-4</v>
      </c>
      <c r="K27" s="91">
        <v>5</v>
      </c>
      <c r="L27" s="91">
        <v>5</v>
      </c>
      <c r="M27" s="91">
        <v>10</v>
      </c>
      <c r="N27" s="91">
        <v>20</v>
      </c>
      <c r="O27" s="91">
        <v>50</v>
      </c>
      <c r="P27" s="91">
        <v>100</v>
      </c>
    </row>
    <row r="28" spans="1:16" ht="16" thickBot="1" x14ac:dyDescent="0.25">
      <c r="A28" s="101"/>
      <c r="B28" s="101" t="s">
        <v>79</v>
      </c>
      <c r="C28" s="101"/>
      <c r="D28" s="101"/>
      <c r="E28" s="93" t="str">
        <f>+E15</f>
        <v>GOLD10</v>
      </c>
      <c r="F28" s="93">
        <f t="shared" si="1"/>
        <v>1305</v>
      </c>
      <c r="G28" s="94">
        <f t="shared" si="1"/>
        <v>0.84</v>
      </c>
      <c r="H28" s="95">
        <f t="shared" si="1"/>
        <v>1305</v>
      </c>
      <c r="I28" s="93">
        <f t="shared" si="1"/>
        <v>1</v>
      </c>
      <c r="J28" s="99">
        <f t="shared" si="1"/>
        <v>6.4367816091954024E-4</v>
      </c>
      <c r="K28" s="95">
        <v>5</v>
      </c>
      <c r="L28" s="95">
        <v>5</v>
      </c>
      <c r="M28" s="95">
        <v>10</v>
      </c>
      <c r="N28" s="95">
        <v>20</v>
      </c>
      <c r="O28" s="95">
        <v>50</v>
      </c>
      <c r="P28" s="95">
        <v>100</v>
      </c>
    </row>
    <row r="42" spans="5:12" ht="30" x14ac:dyDescent="0.2">
      <c r="E42" s="106" t="s">
        <v>83</v>
      </c>
      <c r="F42" s="223" t="s">
        <v>84</v>
      </c>
      <c r="G42" s="223"/>
      <c r="H42" s="223"/>
      <c r="I42" s="223"/>
      <c r="J42" s="223"/>
      <c r="K42" s="223"/>
      <c r="L42" s="223"/>
    </row>
    <row r="43" spans="5:12" ht="16" thickBot="1" x14ac:dyDescent="0.25">
      <c r="F43" s="114">
        <v>50</v>
      </c>
      <c r="G43" s="114">
        <v>100</v>
      </c>
      <c r="H43" s="114">
        <v>200</v>
      </c>
      <c r="I43" s="114">
        <v>500</v>
      </c>
      <c r="J43" s="114">
        <v>1000</v>
      </c>
      <c r="K43" s="114">
        <v>2000</v>
      </c>
      <c r="L43" s="114">
        <v>5000</v>
      </c>
    </row>
    <row r="44" spans="5:12" x14ac:dyDescent="0.2">
      <c r="E44" s="85" t="s">
        <v>33</v>
      </c>
      <c r="F44" s="116">
        <f t="shared" ref="F44:L50" si="2">+F$43/$G20</f>
        <v>59.523809523809526</v>
      </c>
      <c r="G44" s="116">
        <f t="shared" si="2"/>
        <v>119.04761904761905</v>
      </c>
      <c r="H44" s="117">
        <f t="shared" si="2"/>
        <v>238.0952380952381</v>
      </c>
      <c r="I44" s="118">
        <f t="shared" si="2"/>
        <v>595.2380952380953</v>
      </c>
      <c r="J44" s="119">
        <f t="shared" si="2"/>
        <v>1190.4761904761906</v>
      </c>
      <c r="K44" s="119">
        <f t="shared" si="2"/>
        <v>2380.9523809523812</v>
      </c>
      <c r="L44" s="120">
        <f t="shared" si="2"/>
        <v>5952.3809523809523</v>
      </c>
    </row>
    <row r="45" spans="5:12" x14ac:dyDescent="0.2">
      <c r="E45" s="89" t="s">
        <v>46</v>
      </c>
      <c r="F45" s="113">
        <f t="shared" si="2"/>
        <v>65.78947368421052</v>
      </c>
      <c r="G45" s="113">
        <f t="shared" si="2"/>
        <v>131.57894736842104</v>
      </c>
      <c r="H45" s="113">
        <f t="shared" si="2"/>
        <v>263.15789473684208</v>
      </c>
      <c r="I45" s="113">
        <f t="shared" si="2"/>
        <v>657.8947368421052</v>
      </c>
      <c r="J45" s="113">
        <f t="shared" si="2"/>
        <v>1315.7894736842104</v>
      </c>
      <c r="K45" s="113">
        <f t="shared" si="2"/>
        <v>2631.5789473684208</v>
      </c>
      <c r="L45" s="113">
        <f t="shared" si="2"/>
        <v>6578.9473684210525</v>
      </c>
    </row>
    <row r="46" spans="5:12" x14ac:dyDescent="0.2">
      <c r="E46" s="89" t="s">
        <v>75</v>
      </c>
      <c r="F46" s="115">
        <f t="shared" si="2"/>
        <v>46.15</v>
      </c>
      <c r="G46" s="115">
        <f t="shared" si="2"/>
        <v>92.3</v>
      </c>
      <c r="H46" s="115">
        <f t="shared" si="2"/>
        <v>184.6</v>
      </c>
      <c r="I46" s="115">
        <f t="shared" si="2"/>
        <v>461.5</v>
      </c>
      <c r="J46" s="115">
        <f t="shared" si="2"/>
        <v>923</v>
      </c>
      <c r="K46" s="115">
        <f t="shared" si="2"/>
        <v>1846</v>
      </c>
      <c r="L46" s="115">
        <f t="shared" si="2"/>
        <v>4615</v>
      </c>
    </row>
    <row r="47" spans="5:12" x14ac:dyDescent="0.2">
      <c r="E47" s="89" t="s">
        <v>53</v>
      </c>
      <c r="F47" s="119">
        <f t="shared" si="2"/>
        <v>50</v>
      </c>
      <c r="G47" s="119">
        <f t="shared" si="2"/>
        <v>100</v>
      </c>
      <c r="H47" s="120">
        <f t="shared" si="2"/>
        <v>200</v>
      </c>
      <c r="I47" s="120">
        <f t="shared" si="2"/>
        <v>500</v>
      </c>
      <c r="J47" s="120">
        <f t="shared" si="2"/>
        <v>1000</v>
      </c>
      <c r="K47" s="120">
        <f t="shared" si="2"/>
        <v>2000</v>
      </c>
      <c r="L47" s="120">
        <f t="shared" si="2"/>
        <v>5000</v>
      </c>
    </row>
    <row r="48" spans="5:12" x14ac:dyDescent="0.2">
      <c r="E48" s="89" t="s">
        <v>76</v>
      </c>
      <c r="F48" s="115">
        <f t="shared" si="2"/>
        <v>10</v>
      </c>
      <c r="G48" s="115">
        <f t="shared" si="2"/>
        <v>20</v>
      </c>
      <c r="H48" s="115">
        <f t="shared" si="2"/>
        <v>40</v>
      </c>
      <c r="I48" s="115">
        <f t="shared" si="2"/>
        <v>100</v>
      </c>
      <c r="J48" s="115">
        <f t="shared" si="2"/>
        <v>200</v>
      </c>
      <c r="K48" s="115">
        <f t="shared" si="2"/>
        <v>400</v>
      </c>
      <c r="L48" s="115">
        <f t="shared" si="2"/>
        <v>1000</v>
      </c>
    </row>
    <row r="49" spans="5:12" x14ac:dyDescent="0.2">
      <c r="E49" s="89" t="s">
        <v>62</v>
      </c>
      <c r="F49" s="115">
        <f t="shared" si="2"/>
        <v>50</v>
      </c>
      <c r="G49" s="115">
        <f t="shared" si="2"/>
        <v>100</v>
      </c>
      <c r="H49" s="115">
        <f t="shared" si="2"/>
        <v>200</v>
      </c>
      <c r="I49" s="115">
        <f t="shared" si="2"/>
        <v>500</v>
      </c>
      <c r="J49" s="115">
        <f t="shared" si="2"/>
        <v>1000</v>
      </c>
      <c r="K49" s="115">
        <f t="shared" si="2"/>
        <v>2000</v>
      </c>
      <c r="L49" s="115">
        <f t="shared" si="2"/>
        <v>5000</v>
      </c>
    </row>
    <row r="50" spans="5:12" x14ac:dyDescent="0.2">
      <c r="E50" s="89" t="s">
        <v>77</v>
      </c>
      <c r="F50" s="116">
        <f t="shared" si="2"/>
        <v>25</v>
      </c>
      <c r="G50" s="122">
        <f t="shared" si="2"/>
        <v>50</v>
      </c>
      <c r="H50" s="121">
        <f t="shared" si="2"/>
        <v>100</v>
      </c>
      <c r="I50" s="120">
        <f t="shared" si="2"/>
        <v>250</v>
      </c>
      <c r="J50" s="120">
        <f t="shared" si="2"/>
        <v>500</v>
      </c>
      <c r="K50" s="120">
        <f t="shared" si="2"/>
        <v>1000</v>
      </c>
      <c r="L50" s="120">
        <f t="shared" si="2"/>
        <v>2500</v>
      </c>
    </row>
    <row r="51" spans="5:12" ht="16" thickBot="1" x14ac:dyDescent="0.25">
      <c r="E51" s="93" t="s">
        <v>78</v>
      </c>
      <c r="F51" s="116">
        <f t="shared" ref="F51:L51" si="3">+F$43/$G28</f>
        <v>59.523809523809526</v>
      </c>
      <c r="G51" s="116">
        <f t="shared" si="3"/>
        <v>119.04761904761905</v>
      </c>
      <c r="H51" s="119">
        <f t="shared" si="3"/>
        <v>238.0952380952381</v>
      </c>
      <c r="I51" s="121">
        <f t="shared" si="3"/>
        <v>595.2380952380953</v>
      </c>
      <c r="J51" s="120">
        <f t="shared" si="3"/>
        <v>1190.4761904761906</v>
      </c>
      <c r="K51" s="120">
        <f t="shared" si="3"/>
        <v>2380.9523809523812</v>
      </c>
      <c r="L51" s="120">
        <f t="shared" si="3"/>
        <v>5952.3809523809523</v>
      </c>
    </row>
  </sheetData>
  <mergeCells count="3">
    <mergeCell ref="K5:P5"/>
    <mergeCell ref="K18:P18"/>
    <mergeCell ref="F42:L42"/>
  </mergeCells>
  <pageMargins left="0.7" right="0.7" top="0.75" bottom="0.75" header="0.3" footer="0.3"/>
  <pageSetup paperSize="9" orientation="portrait" horizontalDpi="0" verticalDpi="0"/>
  <ignoredErrors>
    <ignoredError sqref="F50:L50" evalError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B2:Q13"/>
  <sheetViews>
    <sheetView topLeftCell="A4" workbookViewId="0">
      <selection activeCell="H20" sqref="H20"/>
    </sheetView>
  </sheetViews>
  <sheetFormatPr baseColWidth="10" defaultRowHeight="15" x14ac:dyDescent="0.2"/>
  <cols>
    <col min="8" max="8" width="11" bestFit="1" customWidth="1"/>
  </cols>
  <sheetData>
    <row r="2" spans="2:17" ht="19" x14ac:dyDescent="0.25">
      <c r="B2" s="224" t="s">
        <v>86</v>
      </c>
      <c r="C2" s="224"/>
      <c r="D2" s="224"/>
      <c r="E2" s="224"/>
      <c r="F2" s="224"/>
      <c r="G2" s="224"/>
      <c r="H2" s="224"/>
      <c r="I2" s="224"/>
      <c r="J2" s="224"/>
      <c r="K2" s="224"/>
      <c r="L2" s="224"/>
      <c r="M2" s="224"/>
      <c r="N2" s="224"/>
      <c r="O2" s="224"/>
      <c r="P2" s="224"/>
    </row>
    <row r="4" spans="2:17" s="137" customFormat="1" ht="45" x14ac:dyDescent="0.2">
      <c r="B4" s="139" t="s">
        <v>87</v>
      </c>
      <c r="C4" s="139" t="s">
        <v>88</v>
      </c>
      <c r="D4" s="139" t="s">
        <v>65</v>
      </c>
      <c r="E4" s="139" t="s">
        <v>89</v>
      </c>
      <c r="F4" s="139" t="s">
        <v>105</v>
      </c>
      <c r="G4" s="139" t="s">
        <v>108</v>
      </c>
      <c r="H4" s="139" t="s">
        <v>90</v>
      </c>
      <c r="I4" s="139" t="s">
        <v>91</v>
      </c>
      <c r="J4" s="139" t="s">
        <v>102</v>
      </c>
      <c r="K4" s="139" t="s">
        <v>114</v>
      </c>
      <c r="L4" s="139" t="s">
        <v>103</v>
      </c>
      <c r="M4" s="139" t="s">
        <v>104</v>
      </c>
      <c r="N4" s="139" t="s">
        <v>54</v>
      </c>
      <c r="O4" s="139" t="s">
        <v>106</v>
      </c>
      <c r="P4" s="139" t="s">
        <v>107</v>
      </c>
      <c r="Q4" s="161" t="s">
        <v>116</v>
      </c>
    </row>
    <row r="5" spans="2:17" x14ac:dyDescent="0.2">
      <c r="B5" t="s">
        <v>33</v>
      </c>
      <c r="C5" t="s">
        <v>109</v>
      </c>
      <c r="D5" t="s">
        <v>113</v>
      </c>
      <c r="E5" t="s">
        <v>97</v>
      </c>
      <c r="F5">
        <v>0.5</v>
      </c>
      <c r="G5">
        <v>1.1874499999999999</v>
      </c>
      <c r="H5" s="114">
        <v>10000</v>
      </c>
      <c r="I5">
        <v>1</v>
      </c>
      <c r="J5">
        <v>1E-4</v>
      </c>
      <c r="K5" s="142">
        <f>+I5/VLOOKUP(C5,Data!$F$6:$G$11,2,FALSE)</f>
        <v>0.83333333333333337</v>
      </c>
      <c r="L5">
        <v>0.75</v>
      </c>
      <c r="M5">
        <v>0</v>
      </c>
      <c r="N5" s="141">
        <v>4.0000000000000001E-3</v>
      </c>
      <c r="O5">
        <v>2</v>
      </c>
      <c r="P5">
        <v>5</v>
      </c>
      <c r="Q5" s="146">
        <f t="shared" ref="Q5:Q13" si="0">H5*F5/Capital_actuel</f>
        <v>0.98843726092173756</v>
      </c>
    </row>
    <row r="6" spans="2:17" x14ac:dyDescent="0.2">
      <c r="B6" t="s">
        <v>75</v>
      </c>
      <c r="C6" t="s">
        <v>111</v>
      </c>
      <c r="D6" t="s">
        <v>113</v>
      </c>
      <c r="E6" t="s">
        <v>97</v>
      </c>
      <c r="F6">
        <v>0.5</v>
      </c>
      <c r="G6">
        <v>0.92</v>
      </c>
      <c r="H6" s="114">
        <v>10000</v>
      </c>
      <c r="I6">
        <v>1</v>
      </c>
      <c r="J6">
        <v>1E-4</v>
      </c>
      <c r="K6" s="142">
        <f>+I6/VLOOKUP(C6,Data!$F$6:$G$11,2,FALSE)</f>
        <v>1.0869565217391304</v>
      </c>
      <c r="L6">
        <v>1.2</v>
      </c>
      <c r="M6">
        <v>0</v>
      </c>
      <c r="N6" s="143">
        <v>0.01</v>
      </c>
      <c r="O6">
        <v>2</v>
      </c>
      <c r="P6">
        <v>5</v>
      </c>
      <c r="Q6" s="146">
        <f t="shared" si="0"/>
        <v>0.98843726092173756</v>
      </c>
    </row>
    <row r="7" spans="2:17" x14ac:dyDescent="0.2">
      <c r="B7" t="s">
        <v>46</v>
      </c>
      <c r="C7" t="s">
        <v>110</v>
      </c>
      <c r="D7" t="s">
        <v>113</v>
      </c>
      <c r="E7" t="s">
        <v>97</v>
      </c>
      <c r="F7">
        <v>0.5</v>
      </c>
      <c r="G7">
        <v>132</v>
      </c>
      <c r="H7" s="114">
        <v>10000</v>
      </c>
      <c r="I7">
        <v>100</v>
      </c>
      <c r="J7">
        <v>0.01</v>
      </c>
      <c r="K7" s="142">
        <f>+I7/VLOOKUP(C7,Data!$F$6:$G$11,2,FALSE)</f>
        <v>0.76000000000000012</v>
      </c>
      <c r="L7">
        <v>2</v>
      </c>
      <c r="M7">
        <v>0</v>
      </c>
      <c r="N7" s="141">
        <v>4.0000000000000001E-3</v>
      </c>
      <c r="O7">
        <v>6</v>
      </c>
      <c r="P7">
        <v>10</v>
      </c>
      <c r="Q7" s="146">
        <f t="shared" si="0"/>
        <v>0.98843726092173756</v>
      </c>
    </row>
    <row r="8" spans="2:17" x14ac:dyDescent="0.2">
      <c r="B8" t="s">
        <v>99</v>
      </c>
      <c r="C8" t="s">
        <v>112</v>
      </c>
      <c r="D8" t="s">
        <v>113</v>
      </c>
      <c r="E8" t="s">
        <v>97</v>
      </c>
      <c r="F8">
        <v>0.5</v>
      </c>
      <c r="G8">
        <v>1.1499999999999999</v>
      </c>
      <c r="H8" s="114">
        <v>10000</v>
      </c>
      <c r="I8">
        <v>1</v>
      </c>
      <c r="J8">
        <v>1E-4</v>
      </c>
      <c r="K8" s="142">
        <f>+I8/VLOOKUP(C8,Data!$F$6:$G$11,2,FALSE)</f>
        <v>0.86956521739130443</v>
      </c>
      <c r="L8">
        <v>2.2999999999999998</v>
      </c>
      <c r="M8">
        <v>0</v>
      </c>
      <c r="N8" s="141">
        <v>1.4999999999999999E-2</v>
      </c>
      <c r="O8">
        <v>10</v>
      </c>
      <c r="P8">
        <f>0.5%*G8/J8</f>
        <v>57.499999999999993</v>
      </c>
      <c r="Q8" s="146">
        <f t="shared" si="0"/>
        <v>0.98843726092173756</v>
      </c>
    </row>
    <row r="9" spans="2:17" x14ac:dyDescent="0.2">
      <c r="B9" t="s">
        <v>62</v>
      </c>
      <c r="C9" t="s">
        <v>115</v>
      </c>
      <c r="D9" t="s">
        <v>113</v>
      </c>
      <c r="E9" t="s">
        <v>96</v>
      </c>
      <c r="F9">
        <v>0.5</v>
      </c>
      <c r="G9">
        <v>7380</v>
      </c>
      <c r="H9" s="114">
        <v>6380</v>
      </c>
      <c r="I9">
        <v>1</v>
      </c>
      <c r="J9">
        <v>1</v>
      </c>
      <c r="K9" s="142">
        <f>+I9/VLOOKUP(C9,Data!$F$6:$G$11,2,FALSE)</f>
        <v>1</v>
      </c>
      <c r="L9">
        <v>2</v>
      </c>
      <c r="M9">
        <v>0</v>
      </c>
      <c r="N9" s="141">
        <v>7.4999999999999997E-3</v>
      </c>
      <c r="O9">
        <v>4</v>
      </c>
      <c r="P9">
        <v>4</v>
      </c>
      <c r="Q9" s="146">
        <f t="shared" si="0"/>
        <v>0.63062297246806853</v>
      </c>
    </row>
    <row r="10" spans="2:17" x14ac:dyDescent="0.2">
      <c r="B10" t="s">
        <v>36</v>
      </c>
      <c r="C10" t="s">
        <v>115</v>
      </c>
      <c r="D10" t="s">
        <v>113</v>
      </c>
      <c r="E10" t="s">
        <v>96</v>
      </c>
      <c r="F10">
        <v>0.5</v>
      </c>
      <c r="G10">
        <v>5100</v>
      </c>
      <c r="H10" s="114">
        <v>5100</v>
      </c>
      <c r="I10">
        <v>1</v>
      </c>
      <c r="J10">
        <v>1</v>
      </c>
      <c r="K10" s="142">
        <f>+I10/VLOOKUP(C10,Data!$F$6:$G$11,2,FALSE)</f>
        <v>1</v>
      </c>
      <c r="L10">
        <v>1</v>
      </c>
      <c r="M10">
        <v>0</v>
      </c>
      <c r="N10" s="141">
        <v>4.0000000000000001E-3</v>
      </c>
      <c r="O10">
        <v>4</v>
      </c>
      <c r="P10">
        <v>4</v>
      </c>
      <c r="Q10" s="146">
        <f t="shared" si="0"/>
        <v>0.50410300307008615</v>
      </c>
    </row>
    <row r="11" spans="2:17" x14ac:dyDescent="0.2">
      <c r="B11" t="s">
        <v>77</v>
      </c>
      <c r="C11" t="s">
        <v>115</v>
      </c>
      <c r="D11" t="s">
        <v>113</v>
      </c>
      <c r="E11" t="s">
        <v>96</v>
      </c>
      <c r="F11">
        <v>0.5</v>
      </c>
      <c r="G11">
        <v>3300</v>
      </c>
      <c r="H11" s="114">
        <v>6800</v>
      </c>
      <c r="I11">
        <v>2</v>
      </c>
      <c r="J11">
        <v>1</v>
      </c>
      <c r="K11" s="142">
        <f>+I11/VLOOKUP(C11,Data!$F$6:$G$11,2,FALSE)</f>
        <v>2</v>
      </c>
      <c r="L11">
        <v>1.5</v>
      </c>
      <c r="M11">
        <v>0</v>
      </c>
      <c r="N11" s="141">
        <v>6.0000000000000001E-3</v>
      </c>
      <c r="O11">
        <v>3</v>
      </c>
      <c r="P11">
        <v>3</v>
      </c>
      <c r="Q11" s="146">
        <f t="shared" si="0"/>
        <v>0.6721373374267815</v>
      </c>
    </row>
    <row r="12" spans="2:17" x14ac:dyDescent="0.2">
      <c r="B12" t="s">
        <v>152</v>
      </c>
      <c r="C12" t="s">
        <v>115</v>
      </c>
      <c r="D12" t="s">
        <v>113</v>
      </c>
      <c r="E12" t="s">
        <v>98</v>
      </c>
      <c r="F12">
        <v>5</v>
      </c>
      <c r="G12">
        <v>1305</v>
      </c>
      <c r="H12" s="114">
        <v>1305</v>
      </c>
      <c r="I12">
        <v>1</v>
      </c>
      <c r="J12">
        <v>1</v>
      </c>
      <c r="K12" s="142">
        <f>+I12/VLOOKUP(C12,Data!$F$6:$G$11,2,FALSE)</f>
        <v>1</v>
      </c>
      <c r="L12">
        <v>0.3</v>
      </c>
      <c r="M12">
        <v>0</v>
      </c>
      <c r="N12" s="141">
        <v>5.0000000000000001E-3</v>
      </c>
      <c r="O12">
        <v>1</v>
      </c>
      <c r="P12">
        <v>2</v>
      </c>
      <c r="Q12" s="146">
        <f t="shared" si="0"/>
        <v>1.2899106255028676</v>
      </c>
    </row>
    <row r="13" spans="2:17" x14ac:dyDescent="0.2">
      <c r="B13" t="s">
        <v>101</v>
      </c>
      <c r="C13" t="s">
        <v>109</v>
      </c>
      <c r="D13" t="s">
        <v>113</v>
      </c>
      <c r="E13" t="s">
        <v>98</v>
      </c>
      <c r="F13">
        <v>0.5</v>
      </c>
      <c r="G13">
        <v>1305</v>
      </c>
      <c r="H13" s="114">
        <f>+G13*10</f>
        <v>13050</v>
      </c>
      <c r="I13">
        <v>10</v>
      </c>
      <c r="J13">
        <v>10</v>
      </c>
      <c r="K13" s="142">
        <f>+I13/VLOOKUP(C13,Data!$F$6:$G$11,2,FALSE)</f>
        <v>8.3333333333333339</v>
      </c>
      <c r="L13">
        <v>0.3</v>
      </c>
      <c r="M13">
        <v>0</v>
      </c>
      <c r="N13" s="141">
        <v>5.0000000000000001E-3</v>
      </c>
      <c r="O13">
        <v>1</v>
      </c>
      <c r="P13">
        <v>1</v>
      </c>
      <c r="Q13" s="146">
        <f t="shared" si="0"/>
        <v>1.2899106255028676</v>
      </c>
    </row>
  </sheetData>
  <mergeCells count="1">
    <mergeCell ref="B2:P2"/>
  </mergeCells>
  <dataValidations count="3">
    <dataValidation type="list" showInputMessage="1" showErrorMessage="1" sqref="B5:B13">
      <formula1>Code_Instrument</formula1>
    </dataValidation>
    <dataValidation type="list" allowBlank="1" showInputMessage="1" showErrorMessage="1" sqref="C5:C9">
      <formula1>Devise</formula1>
    </dataValidation>
    <dataValidation type="list" allowBlank="1" showInputMessage="1" showErrorMessage="1" sqref="E5:E13">
      <formula1>Type_Instrument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FF0000"/>
  </sheetPr>
  <dimension ref="C4:I14"/>
  <sheetViews>
    <sheetView workbookViewId="0">
      <selection activeCell="C14" sqref="C14"/>
    </sheetView>
  </sheetViews>
  <sheetFormatPr baseColWidth="10" defaultRowHeight="15" x14ac:dyDescent="0.2"/>
  <cols>
    <col min="3" max="3" width="11.83203125" customWidth="1"/>
    <col min="6" max="6" width="10.6640625" customWidth="1"/>
    <col min="9" max="9" width="15.6640625" customWidth="1"/>
  </cols>
  <sheetData>
    <row r="4" spans="3:9" x14ac:dyDescent="0.2">
      <c r="F4" t="s">
        <v>100</v>
      </c>
      <c r="G4" s="46">
        <v>42978</v>
      </c>
    </row>
    <row r="5" spans="3:9" ht="30" x14ac:dyDescent="0.2">
      <c r="C5" s="137" t="s">
        <v>92</v>
      </c>
      <c r="D5" s="138"/>
      <c r="E5" s="138"/>
      <c r="F5" s="225" t="s">
        <v>93</v>
      </c>
      <c r="G5" s="225"/>
      <c r="H5" s="138"/>
      <c r="I5" s="137" t="s">
        <v>95</v>
      </c>
    </row>
    <row r="6" spans="3:9" x14ac:dyDescent="0.2">
      <c r="C6" t="s">
        <v>33</v>
      </c>
      <c r="F6" s="1" t="s">
        <v>88</v>
      </c>
      <c r="G6" s="1" t="s">
        <v>94</v>
      </c>
      <c r="I6" t="s">
        <v>96</v>
      </c>
    </row>
    <row r="7" spans="3:9" x14ac:dyDescent="0.2">
      <c r="C7" t="s">
        <v>46</v>
      </c>
      <c r="F7" t="s">
        <v>109</v>
      </c>
      <c r="G7" s="140">
        <v>1.2</v>
      </c>
      <c r="I7" t="s">
        <v>97</v>
      </c>
    </row>
    <row r="8" spans="3:9" x14ac:dyDescent="0.2">
      <c r="C8" t="s">
        <v>75</v>
      </c>
      <c r="F8" t="s">
        <v>110</v>
      </c>
      <c r="G8" s="140">
        <f>100/0.76</f>
        <v>131.57894736842104</v>
      </c>
      <c r="I8" t="s">
        <v>98</v>
      </c>
    </row>
    <row r="9" spans="3:9" x14ac:dyDescent="0.2">
      <c r="C9" t="s">
        <v>36</v>
      </c>
      <c r="F9" t="s">
        <v>111</v>
      </c>
      <c r="G9" s="140">
        <v>0.92</v>
      </c>
    </row>
    <row r="10" spans="3:9" x14ac:dyDescent="0.2">
      <c r="C10" t="s">
        <v>62</v>
      </c>
      <c r="F10" t="s">
        <v>115</v>
      </c>
      <c r="G10" s="140">
        <v>1</v>
      </c>
    </row>
    <row r="11" spans="3:9" x14ac:dyDescent="0.2">
      <c r="C11" t="s">
        <v>77</v>
      </c>
      <c r="F11" t="s">
        <v>112</v>
      </c>
      <c r="G11" s="140">
        <v>1.1499999999999999</v>
      </c>
    </row>
    <row r="12" spans="3:9" x14ac:dyDescent="0.2">
      <c r="C12" t="s">
        <v>101</v>
      </c>
    </row>
    <row r="13" spans="3:9" x14ac:dyDescent="0.2">
      <c r="C13" t="s">
        <v>152</v>
      </c>
    </row>
    <row r="14" spans="3:9" x14ac:dyDescent="0.2">
      <c r="C14" t="s">
        <v>99</v>
      </c>
    </row>
  </sheetData>
  <mergeCells count="1">
    <mergeCell ref="F5:G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Index</vt:lpstr>
      <vt:lpstr>Journal trimestre 3-2017 </vt:lpstr>
      <vt:lpstr>Graphique evolution du capital</vt:lpstr>
      <vt:lpstr>Suivi Position</vt:lpstr>
      <vt:lpstr>GainPerte Daily</vt:lpstr>
      <vt:lpstr>Position Forex&amp;Indice</vt:lpstr>
      <vt:lpstr>Pips et volatilité</vt:lpstr>
      <vt:lpstr>Instruments</vt:lpstr>
      <vt:lpstr>Data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Journal Trading</dc:title>
  <dc:creator/>
  <cp:keywords>bourse, trading, journal</cp:keywords>
  <dc:description>Plus d'infos sur : www.en-bourse.fr</dc:description>
  <cp:lastModifiedBy/>
  <dcterms:created xsi:type="dcterms:W3CDTF">2006-09-12T15:06:44Z</dcterms:created>
  <dcterms:modified xsi:type="dcterms:W3CDTF">2017-09-03T09:54:47Z</dcterms:modified>
  <cp:category>bourse</cp:category>
</cp:coreProperties>
</file>